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tables/table1.xml" ContentType="application/vnd.openxmlformats-officedocument.spreadsheetml.table+xml"/>
  <Override PartName="/xl/pivotTables/pivotTable5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xl/webextensions/webextension2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fabri\Dropbox\FlexUp\Shared\Case Studies\Café Alphonse\"/>
    </mc:Choice>
  </mc:AlternateContent>
  <xr:revisionPtr revIDLastSave="0" documentId="13_ncr:1_{0EB3BD0E-02B4-45E2-A938-238B8CE96DAE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Overview" sheetId="15" r:id="rId1"/>
    <sheet name="Assumptions" sheetId="10" r:id="rId2"/>
    <sheet name="Transactions" sheetId="11" r:id="rId3"/>
    <sheet name="Old" sheetId="17" state="hidden" r:id="rId4"/>
  </sheets>
  <definedNames>
    <definedName name="_xlnm._FilterDatabase" localSheetId="2" hidden="1">Transactions!$A$7:$Z$74</definedName>
    <definedName name="base_reserve">Assumptions!$D$9</definedName>
    <definedName name="credit_buyback">Assumptions!$D$10</definedName>
    <definedName name="credit_risk">Transactions!$I$3</definedName>
    <definedName name="current_date">Assumptions!$D$7</definedName>
    <definedName name="flex_risk">Transactions!$H$3</definedName>
    <definedName name="groceries_pc">Assumptions!$D$14</definedName>
    <definedName name="project_start">Assumptions!$D$4</definedName>
    <definedName name="revenues_growth">Assumptions!$D$13</definedName>
    <definedName name="revenues_initial">Assumptions!$D$12</definedName>
    <definedName name="token_current_index">Assumptions!$D$8</definedName>
    <definedName name="token_index">Overview!$6:$6</definedName>
    <definedName name="token_inflation">Assumptions!$D$6</definedName>
    <definedName name="token_initial_index">Assumptions!$D$5</definedName>
    <definedName name="transactions">Transactions!$A$6:$Z$74</definedName>
  </definedNames>
  <calcPr calcId="191029" calcMode="autoNoTable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_Transactions" name="T_Transactions" connection="Connection"/>
          <x15:modelTable id="T_Contributions" name="T_Contributions" connection="Connection1"/>
          <x15:modelTable id="T_Participants" name="T_Participants" connection="Connection2"/>
        </x15:modelTables>
        <x15:modelRelationships>
          <x15:modelRelationship fromTable="T_Transactions" fromColumn="Transaction" toTable="T_Contributions" toColumn="Contribution"/>
          <x15:modelRelationship fromTable="T_Transactions" fromColumn="Participant" toTable="T_Participants" toColumn="Participant"/>
        </x15:modelRelationship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4" i="17" l="1"/>
  <c r="P24" i="17" s="1"/>
  <c r="L25" i="17"/>
  <c r="L26" i="17"/>
  <c r="L27" i="17"/>
  <c r="P27" i="17" s="1"/>
  <c r="L28" i="17"/>
  <c r="P28" i="17" s="1"/>
  <c r="M28" i="17"/>
  <c r="N28" i="17" s="1"/>
  <c r="L29" i="17"/>
  <c r="P25" i="17" s="1"/>
  <c r="S29" i="17"/>
  <c r="S28" i="17" s="1"/>
  <c r="T29" i="17"/>
  <c r="G37" i="17"/>
  <c r="G38" i="17" s="1"/>
  <c r="F38" i="17"/>
  <c r="H38" i="17"/>
  <c r="H40" i="17" s="1"/>
  <c r="I38" i="17"/>
  <c r="F40" i="17"/>
  <c r="F41" i="17"/>
  <c r="F44" i="17"/>
  <c r="G44" i="17"/>
  <c r="H44" i="17"/>
  <c r="E91" i="15"/>
  <c r="E92" i="15"/>
  <c r="E93" i="15"/>
  <c r="D94" i="15"/>
  <c r="E94" i="15"/>
  <c r="D95" i="15"/>
  <c r="E95" i="15"/>
  <c r="X24" i="15"/>
  <c r="T24" i="15"/>
  <c r="T25" i="15"/>
  <c r="T26" i="15"/>
  <c r="T27" i="15"/>
  <c r="T28" i="15"/>
  <c r="R43" i="15"/>
  <c r="R42" i="15"/>
  <c r="R41" i="15"/>
  <c r="R40" i="15"/>
  <c r="R39" i="15"/>
  <c r="R38" i="15"/>
  <c r="R55" i="15"/>
  <c r="R54" i="15"/>
  <c r="R53" i="15"/>
  <c r="R52" i="15"/>
  <c r="R51" i="15"/>
  <c r="R50" i="15"/>
  <c r="A96" i="15"/>
  <c r="C74" i="15"/>
  <c r="A74" i="15" s="1"/>
  <c r="C75" i="15"/>
  <c r="A75" i="15" s="1"/>
  <c r="C76" i="15"/>
  <c r="A76" i="15" s="1"/>
  <c r="C77" i="15"/>
  <c r="A77" i="15" s="1"/>
  <c r="C78" i="15"/>
  <c r="A78" i="15" s="1"/>
  <c r="A79" i="15"/>
  <c r="D66" i="15"/>
  <c r="E66" i="15" s="1"/>
  <c r="F66" i="15" s="1"/>
  <c r="G66" i="15" s="1"/>
  <c r="H66" i="15" s="1"/>
  <c r="I66" i="15" s="1"/>
  <c r="J66" i="15" s="1"/>
  <c r="K66" i="15" s="1"/>
  <c r="L66" i="15" s="1"/>
  <c r="M66" i="15" s="1"/>
  <c r="N66" i="15" s="1"/>
  <c r="O66" i="15" s="1"/>
  <c r="P66" i="15" s="1"/>
  <c r="Q66" i="15" s="1"/>
  <c r="G95" i="15" s="1"/>
  <c r="D65" i="15"/>
  <c r="E65" i="15" s="1"/>
  <c r="F65" i="15" s="1"/>
  <c r="G65" i="15" s="1"/>
  <c r="H65" i="15" s="1"/>
  <c r="I65" i="15" s="1"/>
  <c r="J65" i="15" s="1"/>
  <c r="K65" i="15" s="1"/>
  <c r="L65" i="15" s="1"/>
  <c r="M65" i="15" s="1"/>
  <c r="N65" i="15" s="1"/>
  <c r="O65" i="15" s="1"/>
  <c r="P65" i="15" s="1"/>
  <c r="Q65" i="15" s="1"/>
  <c r="G94" i="15" s="1"/>
  <c r="D64" i="15"/>
  <c r="E64" i="15" s="1"/>
  <c r="F64" i="15" s="1"/>
  <c r="G64" i="15" s="1"/>
  <c r="H64" i="15" s="1"/>
  <c r="I64" i="15" s="1"/>
  <c r="J64" i="15" s="1"/>
  <c r="K64" i="15" s="1"/>
  <c r="L64" i="15" s="1"/>
  <c r="M64" i="15" s="1"/>
  <c r="N64" i="15" s="1"/>
  <c r="O64" i="15" s="1"/>
  <c r="P64" i="15" s="1"/>
  <c r="Q64" i="15" s="1"/>
  <c r="G93" i="15" s="1"/>
  <c r="D63" i="15"/>
  <c r="E63" i="15" s="1"/>
  <c r="F63" i="15" s="1"/>
  <c r="G63" i="15" s="1"/>
  <c r="H63" i="15" s="1"/>
  <c r="I63" i="15" s="1"/>
  <c r="J63" i="15" s="1"/>
  <c r="K63" i="15" s="1"/>
  <c r="L63" i="15" s="1"/>
  <c r="M63" i="15" s="1"/>
  <c r="N63" i="15" s="1"/>
  <c r="O63" i="15" s="1"/>
  <c r="P63" i="15" s="1"/>
  <c r="Q63" i="15" s="1"/>
  <c r="G92" i="15" s="1"/>
  <c r="D62" i="15"/>
  <c r="D74" i="15" s="1"/>
  <c r="A51" i="15"/>
  <c r="A52" i="15"/>
  <c r="A53" i="15"/>
  <c r="A54" i="15"/>
  <c r="A55" i="15"/>
  <c r="A50" i="15"/>
  <c r="A39" i="15"/>
  <c r="A40" i="15"/>
  <c r="A41" i="15"/>
  <c r="A42" i="15"/>
  <c r="A43" i="15"/>
  <c r="A38" i="15"/>
  <c r="A25" i="15"/>
  <c r="A26" i="15"/>
  <c r="A27" i="15"/>
  <c r="A28" i="15"/>
  <c r="A29" i="15"/>
  <c r="A24" i="15"/>
  <c r="E15" i="11"/>
  <c r="E17" i="11" s="1"/>
  <c r="D8" i="10"/>
  <c r="M25" i="17" s="1"/>
  <c r="K98" i="15"/>
  <c r="E6" i="15"/>
  <c r="F6" i="15" s="1"/>
  <c r="G6" i="15" s="1"/>
  <c r="H6" i="15" s="1"/>
  <c r="I6" i="15" s="1"/>
  <c r="J6" i="15" s="1"/>
  <c r="K6" i="15" s="1"/>
  <c r="L6" i="15" s="1"/>
  <c r="M6" i="15" s="1"/>
  <c r="N6" i="15" s="1"/>
  <c r="O6" i="15" s="1"/>
  <c r="P6" i="15" s="1"/>
  <c r="Q6" i="15" s="1"/>
  <c r="W28" i="15"/>
  <c r="W27" i="15"/>
  <c r="V27" i="15"/>
  <c r="W26" i="15"/>
  <c r="V26" i="15"/>
  <c r="W25" i="15"/>
  <c r="V25" i="15"/>
  <c r="W24" i="15"/>
  <c r="V24" i="15"/>
  <c r="K9" i="10"/>
  <c r="L9" i="10" s="1"/>
  <c r="K8" i="10"/>
  <c r="I17" i="11" s="1"/>
  <c r="K7" i="10"/>
  <c r="X25" i="15" s="1"/>
  <c r="K6" i="10"/>
  <c r="X26" i="15" s="1"/>
  <c r="K5" i="10"/>
  <c r="I16" i="11" s="1"/>
  <c r="I10" i="10"/>
  <c r="K10" i="10" s="1"/>
  <c r="X28" i="15" s="1"/>
  <c r="D30" i="15"/>
  <c r="E30" i="15" s="1"/>
  <c r="F30" i="15" s="1"/>
  <c r="G30" i="15" s="1"/>
  <c r="H30" i="15" s="1"/>
  <c r="I30" i="15" s="1"/>
  <c r="J30" i="15" s="1"/>
  <c r="K30" i="15" s="1"/>
  <c r="L30" i="15" s="1"/>
  <c r="M30" i="15" s="1"/>
  <c r="N30" i="15" s="1"/>
  <c r="O30" i="15" s="1"/>
  <c r="P30" i="15" s="1"/>
  <c r="P31" i="15" s="1"/>
  <c r="Q31" i="15" s="1"/>
  <c r="O73" i="11"/>
  <c r="O72" i="11"/>
  <c r="O71" i="11"/>
  <c r="O70" i="11"/>
  <c r="O68" i="11"/>
  <c r="O67" i="11"/>
  <c r="O66" i="11"/>
  <c r="O65" i="11"/>
  <c r="O63" i="11"/>
  <c r="O62" i="11"/>
  <c r="O61" i="11"/>
  <c r="O60" i="11"/>
  <c r="O58" i="11"/>
  <c r="O57" i="11"/>
  <c r="O56" i="11"/>
  <c r="O55" i="11"/>
  <c r="O53" i="11"/>
  <c r="O52" i="11"/>
  <c r="O51" i="11"/>
  <c r="O50" i="11"/>
  <c r="O48" i="11"/>
  <c r="O47" i="11"/>
  <c r="O46" i="11"/>
  <c r="O45" i="11"/>
  <c r="O43" i="11"/>
  <c r="O42" i="11"/>
  <c r="O41" i="11"/>
  <c r="O40" i="11"/>
  <c r="O38" i="11"/>
  <c r="O37" i="11"/>
  <c r="O36" i="11"/>
  <c r="O35" i="11"/>
  <c r="O33" i="11"/>
  <c r="O32" i="11"/>
  <c r="O31" i="11"/>
  <c r="O30" i="11"/>
  <c r="O28" i="11"/>
  <c r="O27" i="11"/>
  <c r="O26" i="11"/>
  <c r="O25" i="11"/>
  <c r="E14" i="11"/>
  <c r="W14" i="11" s="1"/>
  <c r="O13" i="11"/>
  <c r="H13" i="11"/>
  <c r="F13" i="11"/>
  <c r="A13" i="11"/>
  <c r="B13" i="11" s="1"/>
  <c r="O12" i="11"/>
  <c r="O11" i="11"/>
  <c r="O10" i="11"/>
  <c r="R9" i="11"/>
  <c r="O9" i="11"/>
  <c r="A14" i="11"/>
  <c r="B14" i="11" s="1"/>
  <c r="O23" i="11"/>
  <c r="O22" i="11"/>
  <c r="O21" i="11"/>
  <c r="O20" i="11"/>
  <c r="O18" i="11"/>
  <c r="H18" i="11"/>
  <c r="F18" i="11"/>
  <c r="O17" i="11"/>
  <c r="H17" i="11"/>
  <c r="R17" i="11" s="1"/>
  <c r="G17" i="11"/>
  <c r="F17" i="11"/>
  <c r="O16" i="11"/>
  <c r="H16" i="11"/>
  <c r="G16" i="11"/>
  <c r="F16" i="11"/>
  <c r="O15" i="11"/>
  <c r="I15" i="11"/>
  <c r="H15" i="11"/>
  <c r="G15" i="11"/>
  <c r="F15" i="11"/>
  <c r="AC10" i="15"/>
  <c r="AB10" i="15"/>
  <c r="AA10" i="15"/>
  <c r="AC11" i="15"/>
  <c r="A15" i="11"/>
  <c r="X15" i="11" s="1"/>
  <c r="X10" i="11"/>
  <c r="H12" i="11"/>
  <c r="R12" i="11" s="1"/>
  <c r="G12" i="11"/>
  <c r="F12" i="11"/>
  <c r="I11" i="11"/>
  <c r="H11" i="11"/>
  <c r="R11" i="11" s="1"/>
  <c r="G11" i="11"/>
  <c r="F11" i="11"/>
  <c r="E96" i="15" l="1"/>
  <c r="F96" i="15" s="1"/>
  <c r="M27" i="17"/>
  <c r="O27" i="17" s="1"/>
  <c r="M29" i="17"/>
  <c r="Q28" i="17" s="1"/>
  <c r="T28" i="17" s="1"/>
  <c r="U28" i="17" s="1"/>
  <c r="V28" i="17" s="1"/>
  <c r="N25" i="17"/>
  <c r="O25" i="17"/>
  <c r="I40" i="17"/>
  <c r="H41" i="17"/>
  <c r="G40" i="17"/>
  <c r="G41" i="17" s="1"/>
  <c r="P29" i="17"/>
  <c r="O28" i="17"/>
  <c r="M26" i="17"/>
  <c r="N26" i="17" s="1"/>
  <c r="S24" i="17"/>
  <c r="S25" i="17"/>
  <c r="U29" i="17"/>
  <c r="S27" i="17"/>
  <c r="P26" i="17"/>
  <c r="S26" i="17" s="1"/>
  <c r="M24" i="17"/>
  <c r="D96" i="15"/>
  <c r="C91" i="15"/>
  <c r="A91" i="15" s="1"/>
  <c r="F95" i="15"/>
  <c r="C95" i="15"/>
  <c r="A95" i="15" s="1"/>
  <c r="F94" i="15"/>
  <c r="C94" i="15"/>
  <c r="A94" i="15" s="1"/>
  <c r="C93" i="15"/>
  <c r="A93" i="15" s="1"/>
  <c r="X27" i="15"/>
  <c r="Y27" i="15" s="1"/>
  <c r="C92" i="15"/>
  <c r="A92" i="15" s="1"/>
  <c r="Q75" i="15"/>
  <c r="H92" i="15" s="1"/>
  <c r="Q76" i="15"/>
  <c r="H93" i="15" s="1"/>
  <c r="Q78" i="15"/>
  <c r="H95" i="15" s="1"/>
  <c r="P78" i="15"/>
  <c r="Q77" i="15"/>
  <c r="H94" i="15" s="1"/>
  <c r="J77" i="15"/>
  <c r="D78" i="15"/>
  <c r="H78" i="15"/>
  <c r="I78" i="15"/>
  <c r="D75" i="15"/>
  <c r="P75" i="15"/>
  <c r="N76" i="15"/>
  <c r="L77" i="15"/>
  <c r="J78" i="15"/>
  <c r="N75" i="15"/>
  <c r="L76" i="15"/>
  <c r="K77" i="15"/>
  <c r="E75" i="15"/>
  <c r="O76" i="15"/>
  <c r="M77" i="15"/>
  <c r="K78" i="15"/>
  <c r="O75" i="15"/>
  <c r="F75" i="15"/>
  <c r="D76" i="15"/>
  <c r="P76" i="15"/>
  <c r="N77" i="15"/>
  <c r="L78" i="15"/>
  <c r="G75" i="15"/>
  <c r="E76" i="15"/>
  <c r="O77" i="15"/>
  <c r="M78" i="15"/>
  <c r="M76" i="15"/>
  <c r="H75" i="15"/>
  <c r="F76" i="15"/>
  <c r="D77" i="15"/>
  <c r="P77" i="15"/>
  <c r="N78" i="15"/>
  <c r="I75" i="15"/>
  <c r="G76" i="15"/>
  <c r="E77" i="15"/>
  <c r="O78" i="15"/>
  <c r="J75" i="15"/>
  <c r="H76" i="15"/>
  <c r="F77" i="15"/>
  <c r="K75" i="15"/>
  <c r="I76" i="15"/>
  <c r="G77" i="15"/>
  <c r="E78" i="15"/>
  <c r="L75" i="15"/>
  <c r="H77" i="15"/>
  <c r="F78" i="15"/>
  <c r="J76" i="15"/>
  <c r="M75" i="15"/>
  <c r="K76" i="15"/>
  <c r="I77" i="15"/>
  <c r="G78" i="15"/>
  <c r="Y24" i="15"/>
  <c r="D67" i="15"/>
  <c r="D79" i="15" s="1"/>
  <c r="E62" i="15"/>
  <c r="E74" i="15" s="1"/>
  <c r="I18" i="11"/>
  <c r="I19" i="11" s="1"/>
  <c r="I13" i="11"/>
  <c r="V28" i="15"/>
  <c r="G13" i="11"/>
  <c r="I12" i="11"/>
  <c r="J12" i="11" s="1"/>
  <c r="U12" i="11" s="1"/>
  <c r="G18" i="11"/>
  <c r="G19" i="11" s="1"/>
  <c r="Y25" i="15"/>
  <c r="Y26" i="15"/>
  <c r="H31" i="15"/>
  <c r="H32" i="15" s="1"/>
  <c r="I31" i="15"/>
  <c r="I32" i="15" s="1"/>
  <c r="J31" i="15"/>
  <c r="J32" i="15" s="1"/>
  <c r="K31" i="15"/>
  <c r="K32" i="15" s="1"/>
  <c r="L31" i="15"/>
  <c r="L32" i="15" s="1"/>
  <c r="M31" i="15"/>
  <c r="M32" i="15" s="1"/>
  <c r="N31" i="15"/>
  <c r="N32" i="15" s="1"/>
  <c r="O31" i="15"/>
  <c r="O32" i="15" s="1"/>
  <c r="P32" i="15"/>
  <c r="Q32" i="15" s="1"/>
  <c r="L96" i="15" s="1"/>
  <c r="J96" i="15" s="1"/>
  <c r="M96" i="15" s="1"/>
  <c r="E31" i="15"/>
  <c r="E32" i="15" s="1"/>
  <c r="Q30" i="15"/>
  <c r="F31" i="15"/>
  <c r="F32" i="15" s="1"/>
  <c r="G31" i="15"/>
  <c r="G32" i="15" s="1"/>
  <c r="J17" i="11"/>
  <c r="U17" i="11" s="1"/>
  <c r="E19" i="11"/>
  <c r="W19" i="11" s="1"/>
  <c r="X13" i="11"/>
  <c r="J16" i="11"/>
  <c r="U16" i="11" s="1"/>
  <c r="J15" i="11"/>
  <c r="U15" i="11" s="1"/>
  <c r="X14" i="11"/>
  <c r="Y14" i="11" s="1"/>
  <c r="H19" i="11"/>
  <c r="R15" i="11"/>
  <c r="J11" i="11"/>
  <c r="U11" i="11" s="1"/>
  <c r="F91" i="15" l="1"/>
  <c r="J91" i="15" s="1"/>
  <c r="M91" i="15" s="1"/>
  <c r="F92" i="15"/>
  <c r="J92" i="15" s="1"/>
  <c r="M92" i="15" s="1"/>
  <c r="F93" i="15"/>
  <c r="J93" i="15" s="1"/>
  <c r="M93" i="15" s="1"/>
  <c r="N27" i="17"/>
  <c r="Q27" i="17"/>
  <c r="T27" i="17" s="1"/>
  <c r="U27" i="17" s="1"/>
  <c r="V27" i="17" s="1"/>
  <c r="Q25" i="17"/>
  <c r="T25" i="17" s="1"/>
  <c r="U25" i="17" s="1"/>
  <c r="V25" i="17" s="1"/>
  <c r="Q29" i="17"/>
  <c r="N29" i="17"/>
  <c r="O29" i="17"/>
  <c r="U26" i="17"/>
  <c r="V26" i="17" s="1"/>
  <c r="I41" i="17"/>
  <c r="S30" i="17"/>
  <c r="N24" i="17"/>
  <c r="O24" i="17"/>
  <c r="Q24" i="17"/>
  <c r="T24" i="17" s="1"/>
  <c r="O26" i="17"/>
  <c r="Q26" i="17"/>
  <c r="T26" i="17" s="1"/>
  <c r="J94" i="15"/>
  <c r="M94" i="15" s="1"/>
  <c r="N95" i="15"/>
  <c r="N93" i="15"/>
  <c r="J95" i="15"/>
  <c r="M95" i="15" s="1"/>
  <c r="N92" i="15"/>
  <c r="K96" i="15"/>
  <c r="P96" i="15" s="1"/>
  <c r="Q96" i="15" s="1"/>
  <c r="N94" i="15"/>
  <c r="F62" i="15"/>
  <c r="F74" i="15" s="1"/>
  <c r="E67" i="15"/>
  <c r="E79" i="15" s="1"/>
  <c r="J13" i="11"/>
  <c r="U13" i="11" s="1"/>
  <c r="J18" i="11"/>
  <c r="U18" i="11" s="1"/>
  <c r="U19" i="11" s="1"/>
  <c r="Y28" i="15"/>
  <c r="J19" i="11"/>
  <c r="R29" i="17" l="1"/>
  <c r="R28" i="17"/>
  <c r="R27" i="17"/>
  <c r="R25" i="17"/>
  <c r="R24" i="17"/>
  <c r="R26" i="17"/>
  <c r="T30" i="17"/>
  <c r="I42" i="17"/>
  <c r="I43" i="17" s="1"/>
  <c r="F42" i="17"/>
  <c r="F43" i="17" s="1"/>
  <c r="F45" i="17" s="1"/>
  <c r="G42" i="17"/>
  <c r="G43" i="17" s="1"/>
  <c r="G45" i="17" s="1"/>
  <c r="H42" i="17"/>
  <c r="H43" i="17" s="1"/>
  <c r="H45" i="17" s="1"/>
  <c r="U24" i="17"/>
  <c r="O94" i="15"/>
  <c r="O93" i="15"/>
  <c r="O92" i="15"/>
  <c r="O95" i="15"/>
  <c r="G62" i="15"/>
  <c r="G74" i="15" s="1"/>
  <c r="F67" i="15"/>
  <c r="F79" i="15" s="1"/>
  <c r="I45" i="17" l="1"/>
  <c r="I46" i="17" s="1"/>
  <c r="I44" i="17"/>
  <c r="U30" i="17"/>
  <c r="V24" i="17"/>
  <c r="V29" i="17" s="1"/>
  <c r="V30" i="17" s="1"/>
  <c r="H62" i="15"/>
  <c r="H74" i="15" s="1"/>
  <c r="G67" i="15"/>
  <c r="G79" i="15" s="1"/>
  <c r="F46" i="17" l="1"/>
  <c r="H46" i="17"/>
  <c r="G46" i="17"/>
  <c r="I62" i="15"/>
  <c r="I74" i="15" s="1"/>
  <c r="H67" i="15"/>
  <c r="H79" i="15" s="1"/>
  <c r="A18" i="11"/>
  <c r="X18" i="11" s="1"/>
  <c r="A17" i="11"/>
  <c r="X17" i="11" s="1"/>
  <c r="A16" i="11"/>
  <c r="C20" i="11"/>
  <c r="C25" i="11" s="1"/>
  <c r="C30" i="11" s="1"/>
  <c r="C35" i="11" s="1"/>
  <c r="C40" i="11" s="1"/>
  <c r="C45" i="11" s="1"/>
  <c r="C50" i="11" s="1"/>
  <c r="C55" i="11" s="1"/>
  <c r="C60" i="11" s="1"/>
  <c r="C65" i="11" s="1"/>
  <c r="C70" i="11" s="1"/>
  <c r="D20" i="11"/>
  <c r="D25" i="11" s="1"/>
  <c r="C21" i="11"/>
  <c r="C26" i="11" s="1"/>
  <c r="C31" i="11" s="1"/>
  <c r="C36" i="11" s="1"/>
  <c r="C41" i="11" s="1"/>
  <c r="C46" i="11" s="1"/>
  <c r="C51" i="11" s="1"/>
  <c r="C56" i="11" s="1"/>
  <c r="C61" i="11" s="1"/>
  <c r="C66" i="11" s="1"/>
  <c r="C71" i="11" s="1"/>
  <c r="D21" i="11"/>
  <c r="D26" i="11" s="1"/>
  <c r="E21" i="11"/>
  <c r="E26" i="11" s="1"/>
  <c r="C22" i="11"/>
  <c r="C27" i="11" s="1"/>
  <c r="C32" i="11" s="1"/>
  <c r="C37" i="11" s="1"/>
  <c r="C42" i="11" s="1"/>
  <c r="C47" i="11" s="1"/>
  <c r="C52" i="11" s="1"/>
  <c r="C57" i="11" s="1"/>
  <c r="C62" i="11" s="1"/>
  <c r="C67" i="11" s="1"/>
  <c r="C72" i="11" s="1"/>
  <c r="D22" i="11"/>
  <c r="D27" i="11" s="1"/>
  <c r="C23" i="11"/>
  <c r="C28" i="11" s="1"/>
  <c r="C33" i="11" s="1"/>
  <c r="C38" i="11" s="1"/>
  <c r="C43" i="11" s="1"/>
  <c r="C48" i="11" s="1"/>
  <c r="C53" i="11" s="1"/>
  <c r="C58" i="11" s="1"/>
  <c r="C63" i="11" s="1"/>
  <c r="C68" i="11" s="1"/>
  <c r="C73" i="11" s="1"/>
  <c r="D23" i="11"/>
  <c r="D28" i="11" s="1"/>
  <c r="E23" i="11"/>
  <c r="E28" i="11" s="1"/>
  <c r="E33" i="11" s="1"/>
  <c r="E38" i="11" s="1"/>
  <c r="E43" i="11" s="1"/>
  <c r="E48" i="11" s="1"/>
  <c r="E53" i="11" s="1"/>
  <c r="E58" i="11" s="1"/>
  <c r="E63" i="11" s="1"/>
  <c r="E68" i="11" s="1"/>
  <c r="A20" i="11"/>
  <c r="A11" i="11"/>
  <c r="X11" i="11" s="1"/>
  <c r="A12" i="11"/>
  <c r="X12" i="11" s="1"/>
  <c r="B15" i="11"/>
  <c r="B10" i="11"/>
  <c r="L6" i="10"/>
  <c r="I10" i="11"/>
  <c r="I14" i="11" s="1"/>
  <c r="H10" i="11"/>
  <c r="R10" i="11" s="1"/>
  <c r="G10" i="11"/>
  <c r="G14" i="11" s="1"/>
  <c r="M14" i="11" s="1"/>
  <c r="N14" i="11" s="1"/>
  <c r="O14" i="11" s="1"/>
  <c r="F10" i="11"/>
  <c r="L5" i="10"/>
  <c r="L7" i="10"/>
  <c r="L8" i="10"/>
  <c r="L10" i="10"/>
  <c r="L4" i="10"/>
  <c r="J62" i="15" l="1"/>
  <c r="J74" i="15" s="1"/>
  <c r="I67" i="15"/>
  <c r="I79" i="15" s="1"/>
  <c r="D31" i="11"/>
  <c r="I26" i="11"/>
  <c r="H26" i="11"/>
  <c r="G26" i="11"/>
  <c r="F26" i="11"/>
  <c r="X20" i="11"/>
  <c r="A25" i="11"/>
  <c r="E25" i="11" s="1"/>
  <c r="E20" i="11"/>
  <c r="F25" i="11"/>
  <c r="G25" i="11"/>
  <c r="I25" i="11"/>
  <c r="H25" i="11"/>
  <c r="R25" i="11" s="1"/>
  <c r="D30" i="11"/>
  <c r="D32" i="11"/>
  <c r="I27" i="11"/>
  <c r="G27" i="11"/>
  <c r="H27" i="11"/>
  <c r="R27" i="11" s="1"/>
  <c r="F27" i="11"/>
  <c r="E31" i="11"/>
  <c r="F28" i="11"/>
  <c r="I28" i="11"/>
  <c r="H28" i="11"/>
  <c r="G28" i="11"/>
  <c r="D33" i="11"/>
  <c r="E73" i="11"/>
  <c r="I23" i="11"/>
  <c r="H23" i="11"/>
  <c r="G23" i="11"/>
  <c r="F23" i="11"/>
  <c r="I21" i="11"/>
  <c r="H21" i="11"/>
  <c r="G21" i="11"/>
  <c r="F21" i="11"/>
  <c r="G22" i="11"/>
  <c r="F22" i="11"/>
  <c r="I22" i="11"/>
  <c r="H22" i="11"/>
  <c r="R22" i="11" s="1"/>
  <c r="F20" i="11"/>
  <c r="H20" i="11"/>
  <c r="R20" i="11" s="1"/>
  <c r="I20" i="11"/>
  <c r="G20" i="11"/>
  <c r="H14" i="11"/>
  <c r="J14" i="11" s="1"/>
  <c r="B16" i="11"/>
  <c r="X16" i="11"/>
  <c r="A19" i="11"/>
  <c r="B11" i="11"/>
  <c r="B17" i="11"/>
  <c r="B18" i="11"/>
  <c r="A21" i="11"/>
  <c r="X21" i="11" s="1"/>
  <c r="A22" i="11"/>
  <c r="X22" i="11" s="1"/>
  <c r="A23" i="11"/>
  <c r="X23" i="11" s="1"/>
  <c r="B12" i="11"/>
  <c r="B20" i="11"/>
  <c r="J10" i="11"/>
  <c r="U10" i="11" s="1"/>
  <c r="U14" i="11" s="1"/>
  <c r="K62" i="15" l="1"/>
  <c r="K74" i="15" s="1"/>
  <c r="J67" i="15"/>
  <c r="J79" i="15" s="1"/>
  <c r="J26" i="11"/>
  <c r="U26" i="11" s="1"/>
  <c r="J28" i="11"/>
  <c r="U28" i="11" s="1"/>
  <c r="J27" i="11"/>
  <c r="J25" i="11"/>
  <c r="B25" i="11"/>
  <c r="A27" i="11"/>
  <c r="A28" i="11"/>
  <c r="A30" i="11"/>
  <c r="E30" i="11" s="1"/>
  <c r="A26" i="11"/>
  <c r="X25" i="11"/>
  <c r="E36" i="11"/>
  <c r="E41" i="11" s="1"/>
  <c r="E46" i="11" s="1"/>
  <c r="E51" i="11" s="1"/>
  <c r="E56" i="11" s="1"/>
  <c r="E61" i="11" s="1"/>
  <c r="G32" i="11"/>
  <c r="D37" i="11"/>
  <c r="F32" i="11"/>
  <c r="H32" i="11"/>
  <c r="R32" i="11" s="1"/>
  <c r="I32" i="11"/>
  <c r="I33" i="11"/>
  <c r="H33" i="11"/>
  <c r="D38" i="11"/>
  <c r="F33" i="11"/>
  <c r="G33" i="11"/>
  <c r="F30" i="11"/>
  <c r="I30" i="11"/>
  <c r="D35" i="11"/>
  <c r="G30" i="11"/>
  <c r="H30" i="11"/>
  <c r="R30" i="11" s="1"/>
  <c r="F31" i="11"/>
  <c r="I31" i="11"/>
  <c r="H31" i="11"/>
  <c r="G31" i="11"/>
  <c r="D36" i="11"/>
  <c r="J20" i="11"/>
  <c r="U20" i="11" s="1"/>
  <c r="J21" i="11"/>
  <c r="U21" i="11" s="1"/>
  <c r="P14" i="11"/>
  <c r="J22" i="11"/>
  <c r="J23" i="11"/>
  <c r="U23" i="11" s="1"/>
  <c r="B19" i="11"/>
  <c r="X19" i="11"/>
  <c r="Y19" i="11" s="1"/>
  <c r="E22" i="11"/>
  <c r="H24" i="11" s="1"/>
  <c r="A24" i="11"/>
  <c r="B22" i="11"/>
  <c r="B21" i="11"/>
  <c r="B23" i="11"/>
  <c r="L62" i="15" l="1"/>
  <c r="L74" i="15" s="1"/>
  <c r="K67" i="15"/>
  <c r="K79" i="15" s="1"/>
  <c r="J31" i="11"/>
  <c r="U31" i="11" s="1"/>
  <c r="J30" i="11"/>
  <c r="J32" i="11"/>
  <c r="J33" i="11"/>
  <c r="U33" i="11" s="1"/>
  <c r="G35" i="11"/>
  <c r="F35" i="11"/>
  <c r="D40" i="11"/>
  <c r="H35" i="11"/>
  <c r="R35" i="11" s="1"/>
  <c r="I35" i="11"/>
  <c r="D41" i="11"/>
  <c r="G36" i="11"/>
  <c r="I36" i="11"/>
  <c r="H36" i="11"/>
  <c r="F36" i="11"/>
  <c r="B28" i="11"/>
  <c r="X28" i="11"/>
  <c r="B27" i="11"/>
  <c r="X27" i="11"/>
  <c r="G38" i="11"/>
  <c r="H38" i="11"/>
  <c r="I38" i="11"/>
  <c r="D43" i="11"/>
  <c r="F38" i="11"/>
  <c r="E27" i="11"/>
  <c r="H29" i="11" s="1"/>
  <c r="D42" i="11"/>
  <c r="F37" i="11"/>
  <c r="G37" i="11"/>
  <c r="H37" i="11"/>
  <c r="R37" i="11" s="1"/>
  <c r="I37" i="11"/>
  <c r="X26" i="11"/>
  <c r="B26" i="11"/>
  <c r="A29" i="11"/>
  <c r="X30" i="11"/>
  <c r="A33" i="11"/>
  <c r="B30" i="11"/>
  <c r="A35" i="11"/>
  <c r="E35" i="11" s="1"/>
  <c r="A31" i="11"/>
  <c r="A32" i="11"/>
  <c r="U25" i="11"/>
  <c r="E66" i="11"/>
  <c r="E24" i="11"/>
  <c r="W24" i="11" s="1"/>
  <c r="U22" i="11"/>
  <c r="U24" i="11" s="1"/>
  <c r="Q14" i="11"/>
  <c r="R14" i="11" s="1"/>
  <c r="P11" i="11"/>
  <c r="P10" i="11"/>
  <c r="P12" i="11"/>
  <c r="P9" i="11"/>
  <c r="I24" i="11"/>
  <c r="G24" i="11"/>
  <c r="B24" i="11"/>
  <c r="X24" i="11"/>
  <c r="M62" i="15" l="1"/>
  <c r="M74" i="15" s="1"/>
  <c r="L67" i="15"/>
  <c r="L79" i="15" s="1"/>
  <c r="I29" i="11"/>
  <c r="J36" i="11"/>
  <c r="U36" i="11" s="1"/>
  <c r="B33" i="11"/>
  <c r="X33" i="11"/>
  <c r="E32" i="11"/>
  <c r="U32" i="11" s="1"/>
  <c r="E29" i="11"/>
  <c r="W29" i="11" s="1"/>
  <c r="U27" i="11"/>
  <c r="U29" i="11" s="1"/>
  <c r="B29" i="11"/>
  <c r="X29" i="11"/>
  <c r="U30" i="11"/>
  <c r="D46" i="11"/>
  <c r="I41" i="11"/>
  <c r="G41" i="11"/>
  <c r="F41" i="11"/>
  <c r="H41" i="11"/>
  <c r="X32" i="11"/>
  <c r="B32" i="11"/>
  <c r="X31" i="11"/>
  <c r="B31" i="11"/>
  <c r="A34" i="11"/>
  <c r="J37" i="11"/>
  <c r="J38" i="11"/>
  <c r="U38" i="11" s="1"/>
  <c r="F42" i="11"/>
  <c r="D47" i="11"/>
  <c r="I42" i="11"/>
  <c r="H42" i="11"/>
  <c r="R42" i="11" s="1"/>
  <c r="G42" i="11"/>
  <c r="I43" i="11"/>
  <c r="G43" i="11"/>
  <c r="H43" i="11"/>
  <c r="F43" i="11"/>
  <c r="D48" i="11"/>
  <c r="B35" i="11"/>
  <c r="A36" i="11"/>
  <c r="A38" i="11"/>
  <c r="A40" i="11"/>
  <c r="E40" i="11" s="1"/>
  <c r="A37" i="11"/>
  <c r="X35" i="11"/>
  <c r="G40" i="11"/>
  <c r="F40" i="11"/>
  <c r="H40" i="11"/>
  <c r="I40" i="11"/>
  <c r="D45" i="11"/>
  <c r="G29" i="11"/>
  <c r="J35" i="11"/>
  <c r="U35" i="11" s="1"/>
  <c r="Y24" i="11"/>
  <c r="E71" i="11"/>
  <c r="J24" i="11"/>
  <c r="Q9" i="11"/>
  <c r="K12" i="11"/>
  <c r="L12" i="11" s="1"/>
  <c r="W12" i="11" s="1"/>
  <c r="Y12" i="11" s="1"/>
  <c r="K10" i="11"/>
  <c r="L10" i="11" s="1"/>
  <c r="W10" i="11" s="1"/>
  <c r="Y10" i="11" s="1"/>
  <c r="K11" i="11"/>
  <c r="L11" i="11" s="1"/>
  <c r="W11" i="11" s="1"/>
  <c r="Y11" i="11" s="1"/>
  <c r="Q12" i="11"/>
  <c r="S12" i="11"/>
  <c r="T12" i="11" s="1"/>
  <c r="Z12" i="11" s="1"/>
  <c r="Q10" i="11"/>
  <c r="S10" i="11"/>
  <c r="Q11" i="11"/>
  <c r="S11" i="11"/>
  <c r="T11" i="11" s="1"/>
  <c r="Z11" i="11" s="1"/>
  <c r="N62" i="15" l="1"/>
  <c r="N74" i="15" s="1"/>
  <c r="M67" i="15"/>
  <c r="M79" i="15" s="1"/>
  <c r="J42" i="11"/>
  <c r="U34" i="11"/>
  <c r="J29" i="11"/>
  <c r="I34" i="11"/>
  <c r="J41" i="11"/>
  <c r="U41" i="11" s="1"/>
  <c r="H34" i="11"/>
  <c r="X34" i="11"/>
  <c r="B34" i="11"/>
  <c r="Y29" i="11"/>
  <c r="B37" i="11"/>
  <c r="X37" i="11"/>
  <c r="G34" i="11"/>
  <c r="H48" i="11"/>
  <c r="G48" i="11"/>
  <c r="I48" i="11"/>
  <c r="D53" i="11"/>
  <c r="F48" i="11"/>
  <c r="E37" i="11"/>
  <c r="H39" i="11" s="1"/>
  <c r="E34" i="11"/>
  <c r="W34" i="11" s="1"/>
  <c r="I45" i="11"/>
  <c r="F45" i="11"/>
  <c r="D50" i="11"/>
  <c r="H45" i="11"/>
  <c r="G45" i="11"/>
  <c r="R40" i="11"/>
  <c r="J40" i="11"/>
  <c r="A41" i="11"/>
  <c r="A42" i="11"/>
  <c r="X40" i="11"/>
  <c r="A45" i="11"/>
  <c r="E45" i="11" s="1"/>
  <c r="A43" i="11"/>
  <c r="B40" i="11"/>
  <c r="F47" i="11"/>
  <c r="I47" i="11"/>
  <c r="H47" i="11"/>
  <c r="R47" i="11" s="1"/>
  <c r="D52" i="11"/>
  <c r="G47" i="11"/>
  <c r="J43" i="11"/>
  <c r="U43" i="11" s="1"/>
  <c r="B38" i="11"/>
  <c r="X38" i="11"/>
  <c r="X36" i="11"/>
  <c r="A39" i="11"/>
  <c r="B36" i="11"/>
  <c r="H46" i="11"/>
  <c r="G46" i="11"/>
  <c r="F46" i="11"/>
  <c r="I46" i="11"/>
  <c r="D51" i="11"/>
  <c r="S14" i="11"/>
  <c r="V14" i="11" s="1"/>
  <c r="T10" i="11"/>
  <c r="O62" i="15" l="1"/>
  <c r="O74" i="15" s="1"/>
  <c r="N67" i="15"/>
  <c r="N79" i="15" s="1"/>
  <c r="Y34" i="11"/>
  <c r="J34" i="11"/>
  <c r="G39" i="11"/>
  <c r="I39" i="11"/>
  <c r="I53" i="11"/>
  <c r="H53" i="11"/>
  <c r="F53" i="11"/>
  <c r="D58" i="11"/>
  <c r="G53" i="11"/>
  <c r="J45" i="11"/>
  <c r="U45" i="11" s="1"/>
  <c r="R45" i="11"/>
  <c r="J48" i="11"/>
  <c r="U48" i="11" s="1"/>
  <c r="I52" i="11"/>
  <c r="D57" i="11"/>
  <c r="H52" i="11"/>
  <c r="R52" i="11" s="1"/>
  <c r="G52" i="11"/>
  <c r="F52" i="11"/>
  <c r="J46" i="11"/>
  <c r="U46" i="11" s="1"/>
  <c r="X39" i="11"/>
  <c r="B39" i="11"/>
  <c r="X43" i="11"/>
  <c r="B43" i="11"/>
  <c r="X42" i="11"/>
  <c r="B42" i="11"/>
  <c r="F50" i="11"/>
  <c r="D55" i="11"/>
  <c r="G50" i="11"/>
  <c r="I50" i="11"/>
  <c r="H50" i="11"/>
  <c r="A46" i="11"/>
  <c r="X45" i="11"/>
  <c r="E47" i="11"/>
  <c r="H49" i="11" s="1"/>
  <c r="A47" i="11"/>
  <c r="A48" i="11"/>
  <c r="A50" i="11"/>
  <c r="E50" i="11" s="1"/>
  <c r="B45" i="11"/>
  <c r="A44" i="11"/>
  <c r="X41" i="11"/>
  <c r="B41" i="11"/>
  <c r="E42" i="11"/>
  <c r="E44" i="11" s="1"/>
  <c r="W44" i="11" s="1"/>
  <c r="D56" i="11"/>
  <c r="G51" i="11"/>
  <c r="F51" i="11"/>
  <c r="H51" i="11"/>
  <c r="I51" i="11"/>
  <c r="J47" i="11"/>
  <c r="U40" i="11"/>
  <c r="E39" i="11"/>
  <c r="W39" i="11" s="1"/>
  <c r="U37" i="11"/>
  <c r="U39" i="11" s="1"/>
  <c r="T14" i="11"/>
  <c r="Z14" i="11" s="1"/>
  <c r="Z10" i="11"/>
  <c r="P62" i="15" l="1"/>
  <c r="P74" i="15" s="1"/>
  <c r="O67" i="15"/>
  <c r="O79" i="15" s="1"/>
  <c r="Y39" i="11"/>
  <c r="J39" i="11"/>
  <c r="G44" i="11"/>
  <c r="I44" i="11"/>
  <c r="J50" i="11"/>
  <c r="B48" i="11"/>
  <c r="X48" i="11"/>
  <c r="X47" i="11"/>
  <c r="B47" i="11"/>
  <c r="J53" i="11"/>
  <c r="U53" i="11" s="1"/>
  <c r="J51" i="11"/>
  <c r="U51" i="11" s="1"/>
  <c r="E49" i="11"/>
  <c r="W49" i="11" s="1"/>
  <c r="U47" i="11"/>
  <c r="U49" i="11" s="1"/>
  <c r="B46" i="11"/>
  <c r="A49" i="11"/>
  <c r="X46" i="11"/>
  <c r="I58" i="11"/>
  <c r="H58" i="11"/>
  <c r="G58" i="11"/>
  <c r="F58" i="11"/>
  <c r="D63" i="11"/>
  <c r="D60" i="11"/>
  <c r="F55" i="11"/>
  <c r="I55" i="11"/>
  <c r="H55" i="11"/>
  <c r="G55" i="11"/>
  <c r="B44" i="11"/>
  <c r="X44" i="11"/>
  <c r="Y44" i="11" s="1"/>
  <c r="H56" i="11"/>
  <c r="I56" i="11"/>
  <c r="D61" i="11"/>
  <c r="F56" i="11"/>
  <c r="G56" i="11"/>
  <c r="U42" i="11"/>
  <c r="U44" i="11" s="1"/>
  <c r="H44" i="11"/>
  <c r="R50" i="11"/>
  <c r="I57" i="11"/>
  <c r="D62" i="11"/>
  <c r="G57" i="11"/>
  <c r="F57" i="11"/>
  <c r="H57" i="11"/>
  <c r="R57" i="11" s="1"/>
  <c r="A55" i="11"/>
  <c r="E55" i="11" s="1"/>
  <c r="B50" i="11"/>
  <c r="X50" i="11"/>
  <c r="A53" i="11"/>
  <c r="A51" i="11"/>
  <c r="A52" i="11"/>
  <c r="G49" i="11"/>
  <c r="I49" i="11"/>
  <c r="J52" i="11"/>
  <c r="Q62" i="15" l="1"/>
  <c r="G91" i="15" s="1"/>
  <c r="G96" i="15" s="1"/>
  <c r="P67" i="15"/>
  <c r="P79" i="15" s="1"/>
  <c r="J56" i="11"/>
  <c r="U56" i="11" s="1"/>
  <c r="J44" i="11"/>
  <c r="J49" i="11"/>
  <c r="J55" i="11"/>
  <c r="B51" i="11"/>
  <c r="A54" i="11"/>
  <c r="X51" i="11"/>
  <c r="B53" i="11"/>
  <c r="X53" i="11"/>
  <c r="R55" i="11"/>
  <c r="B49" i="11"/>
  <c r="X49" i="11"/>
  <c r="Y49" i="11" s="1"/>
  <c r="E52" i="11"/>
  <c r="E54" i="11" s="1"/>
  <c r="W54" i="11" s="1"/>
  <c r="G60" i="11"/>
  <c r="I60" i="11"/>
  <c r="H60" i="11"/>
  <c r="F60" i="11"/>
  <c r="D65" i="11"/>
  <c r="B55" i="11"/>
  <c r="A60" i="11"/>
  <c r="E60" i="11" s="1"/>
  <c r="A56" i="11"/>
  <c r="A58" i="11"/>
  <c r="A57" i="11"/>
  <c r="X55" i="11"/>
  <c r="G61" i="11"/>
  <c r="H61" i="11"/>
  <c r="D66" i="11"/>
  <c r="F61" i="11"/>
  <c r="I61" i="11"/>
  <c r="U50" i="11"/>
  <c r="D68" i="11"/>
  <c r="F63" i="11"/>
  <c r="G63" i="11"/>
  <c r="I63" i="11"/>
  <c r="H63" i="11"/>
  <c r="B52" i="11"/>
  <c r="X52" i="11"/>
  <c r="J57" i="11"/>
  <c r="H62" i="11"/>
  <c r="R62" i="11" s="1"/>
  <c r="D67" i="11"/>
  <c r="G62" i="11"/>
  <c r="F62" i="11"/>
  <c r="I62" i="11"/>
  <c r="J58" i="11"/>
  <c r="U58" i="11" s="1"/>
  <c r="Q74" i="15" l="1"/>
  <c r="H91" i="15" s="1"/>
  <c r="Q67" i="15"/>
  <c r="R62" i="15" s="1"/>
  <c r="J63" i="11"/>
  <c r="U63" i="11" s="1"/>
  <c r="B56" i="11"/>
  <c r="A59" i="11"/>
  <c r="X56" i="11"/>
  <c r="J62" i="11"/>
  <c r="R60" i="11"/>
  <c r="X54" i="11"/>
  <c r="Y54" i="11" s="1"/>
  <c r="B54" i="11"/>
  <c r="E57" i="11"/>
  <c r="U57" i="11" s="1"/>
  <c r="B58" i="11"/>
  <c r="X58" i="11"/>
  <c r="A65" i="11"/>
  <c r="E65" i="11" s="1"/>
  <c r="X60" i="11"/>
  <c r="B60" i="11"/>
  <c r="A62" i="11"/>
  <c r="A63" i="11"/>
  <c r="A61" i="11"/>
  <c r="H65" i="11"/>
  <c r="G65" i="11"/>
  <c r="D70" i="11"/>
  <c r="F65" i="11"/>
  <c r="I65" i="11"/>
  <c r="G66" i="11"/>
  <c r="F66" i="11"/>
  <c r="D71" i="11"/>
  <c r="I66" i="11"/>
  <c r="H66" i="11"/>
  <c r="B57" i="11"/>
  <c r="X57" i="11"/>
  <c r="D73" i="11"/>
  <c r="I68" i="11"/>
  <c r="H68" i="11"/>
  <c r="G68" i="11"/>
  <c r="F68" i="11"/>
  <c r="G67" i="11"/>
  <c r="F67" i="11"/>
  <c r="D72" i="11"/>
  <c r="I67" i="11"/>
  <c r="H67" i="11"/>
  <c r="R67" i="11" s="1"/>
  <c r="I54" i="11"/>
  <c r="J61" i="11"/>
  <c r="U61" i="11" s="1"/>
  <c r="J60" i="11"/>
  <c r="U60" i="11" s="1"/>
  <c r="U55" i="11"/>
  <c r="G54" i="11"/>
  <c r="U52" i="11"/>
  <c r="U54" i="11" s="1"/>
  <c r="H54" i="11"/>
  <c r="N91" i="15" l="1"/>
  <c r="O91" i="15" s="1"/>
  <c r="Q79" i="15"/>
  <c r="H96" i="15" s="1"/>
  <c r="R67" i="15"/>
  <c r="R65" i="15"/>
  <c r="R63" i="15"/>
  <c r="R64" i="15"/>
  <c r="R66" i="15"/>
  <c r="J68" i="11"/>
  <c r="U68" i="11" s="1"/>
  <c r="J65" i="11"/>
  <c r="E59" i="11"/>
  <c r="W59" i="11" s="1"/>
  <c r="J54" i="11"/>
  <c r="U59" i="11"/>
  <c r="I59" i="11"/>
  <c r="B62" i="11"/>
  <c r="X62" i="11"/>
  <c r="F72" i="11"/>
  <c r="I72" i="11"/>
  <c r="H72" i="11"/>
  <c r="R72" i="11" s="1"/>
  <c r="G72" i="11"/>
  <c r="R65" i="11"/>
  <c r="G59" i="11"/>
  <c r="A64" i="11"/>
  <c r="B61" i="11"/>
  <c r="X61" i="11"/>
  <c r="B63" i="11"/>
  <c r="X63" i="11"/>
  <c r="E62" i="11"/>
  <c r="I64" i="11" s="1"/>
  <c r="J67" i="11"/>
  <c r="J66" i="11"/>
  <c r="U66" i="11" s="1"/>
  <c r="A68" i="11"/>
  <c r="X65" i="11"/>
  <c r="B65" i="11"/>
  <c r="A66" i="11"/>
  <c r="A67" i="11"/>
  <c r="A70" i="11"/>
  <c r="E70" i="11" s="1"/>
  <c r="B59" i="11"/>
  <c r="X59" i="11"/>
  <c r="H70" i="11"/>
  <c r="I70" i="11"/>
  <c r="G70" i="11"/>
  <c r="F70" i="11"/>
  <c r="F73" i="11"/>
  <c r="G73" i="11"/>
  <c r="I73" i="11"/>
  <c r="H73" i="11"/>
  <c r="H71" i="11"/>
  <c r="G71" i="11"/>
  <c r="F71" i="11"/>
  <c r="I71" i="11"/>
  <c r="H59" i="11"/>
  <c r="J72" i="11" l="1"/>
  <c r="I96" i="15"/>
  <c r="N96" i="15"/>
  <c r="O96" i="15" s="1"/>
  <c r="I95" i="15"/>
  <c r="K95" i="15" s="1"/>
  <c r="I94" i="15"/>
  <c r="K94" i="15" s="1"/>
  <c r="I93" i="15"/>
  <c r="K93" i="15" s="1"/>
  <c r="I92" i="15"/>
  <c r="K92" i="15" s="1"/>
  <c r="I91" i="15"/>
  <c r="K91" i="15" s="1"/>
  <c r="R79" i="15"/>
  <c r="R77" i="15"/>
  <c r="R78" i="15"/>
  <c r="R76" i="15"/>
  <c r="R75" i="15"/>
  <c r="R74" i="15"/>
  <c r="Y59" i="11"/>
  <c r="J59" i="11"/>
  <c r="R70" i="11"/>
  <c r="U62" i="11"/>
  <c r="U64" i="11" s="1"/>
  <c r="H64" i="11"/>
  <c r="G64" i="11"/>
  <c r="B68" i="11"/>
  <c r="X68" i="11"/>
  <c r="A73" i="11"/>
  <c r="B70" i="11"/>
  <c r="A71" i="11"/>
  <c r="X70" i="11"/>
  <c r="A72" i="11"/>
  <c r="J73" i="11"/>
  <c r="U73" i="11" s="1"/>
  <c r="J70" i="11"/>
  <c r="J71" i="11"/>
  <c r="U71" i="11" s="1"/>
  <c r="E64" i="11"/>
  <c r="W64" i="11" s="1"/>
  <c r="B67" i="11"/>
  <c r="X67" i="11"/>
  <c r="A69" i="11"/>
  <c r="X66" i="11"/>
  <c r="B66" i="11"/>
  <c r="E67" i="11"/>
  <c r="E69" i="11" s="1"/>
  <c r="W69" i="11" s="1"/>
  <c r="B64" i="11"/>
  <c r="X64" i="11"/>
  <c r="U65" i="11"/>
  <c r="V10" i="11"/>
  <c r="V11" i="11" s="1"/>
  <c r="V12" i="11" s="1"/>
  <c r="P93" i="15" l="1"/>
  <c r="L93" i="15"/>
  <c r="P92" i="15"/>
  <c r="L92" i="15"/>
  <c r="L94" i="15"/>
  <c r="P94" i="15"/>
  <c r="Q94" i="15" s="1"/>
  <c r="L95" i="15"/>
  <c r="P95" i="15"/>
  <c r="Q95" i="15" s="1"/>
  <c r="P91" i="15"/>
  <c r="Q91" i="15" s="1"/>
  <c r="L91" i="15"/>
  <c r="J64" i="11"/>
  <c r="B69" i="11"/>
  <c r="X69" i="11"/>
  <c r="Y69" i="11" s="1"/>
  <c r="A74" i="11"/>
  <c r="B71" i="11"/>
  <c r="X71" i="11"/>
  <c r="E72" i="11"/>
  <c r="U72" i="11" s="1"/>
  <c r="X73" i="11"/>
  <c r="B73" i="11"/>
  <c r="Y64" i="11"/>
  <c r="U70" i="11"/>
  <c r="B72" i="11"/>
  <c r="X72" i="11"/>
  <c r="G69" i="11"/>
  <c r="U67" i="11"/>
  <c r="U69" i="11" s="1"/>
  <c r="H69" i="11"/>
  <c r="I69" i="11"/>
  <c r="M19" i="11"/>
  <c r="G74" i="11" l="1"/>
  <c r="I74" i="11"/>
  <c r="J69" i="11"/>
  <c r="B74" i="11"/>
  <c r="X74" i="11"/>
  <c r="H74" i="11"/>
  <c r="E74" i="11"/>
  <c r="W74" i="11" s="1"/>
  <c r="U74" i="11"/>
  <c r="N19" i="11"/>
  <c r="O19" i="11" s="1"/>
  <c r="P19" i="11" s="1"/>
  <c r="E4" i="11"/>
  <c r="J74" i="11" l="1"/>
  <c r="Y74" i="11"/>
  <c r="Q19" i="11"/>
  <c r="R19" i="11" s="1"/>
  <c r="P15" i="11"/>
  <c r="P13" i="11" s="1"/>
  <c r="P18" i="11"/>
  <c r="P17" i="11"/>
  <c r="P16" i="11"/>
  <c r="U4" i="11"/>
  <c r="K13" i="11" l="1"/>
  <c r="L13" i="11" s="1"/>
  <c r="W13" i="11" s="1"/>
  <c r="Y13" i="11" s="1"/>
  <c r="S13" i="11"/>
  <c r="Q13" i="11"/>
  <c r="R13" i="11" s="1"/>
  <c r="K14" i="11"/>
  <c r="Q18" i="11"/>
  <c r="R18" i="11" s="1"/>
  <c r="S18" i="11"/>
  <c r="T18" i="11" s="1"/>
  <c r="Z18" i="11" s="1"/>
  <c r="S17" i="11"/>
  <c r="T17" i="11" s="1"/>
  <c r="Z17" i="11" s="1"/>
  <c r="Q17" i="11"/>
  <c r="K19" i="11"/>
  <c r="Q15" i="11"/>
  <c r="S15" i="11"/>
  <c r="Q16" i="11"/>
  <c r="R16" i="11" s="1"/>
  <c r="S16" i="11"/>
  <c r="T16" i="11" s="1"/>
  <c r="Z16" i="11" s="1"/>
  <c r="T13" i="11" l="1"/>
  <c r="Z13" i="11" s="1"/>
  <c r="V13" i="11"/>
  <c r="S19" i="11"/>
  <c r="V19" i="11" s="1"/>
  <c r="T15" i="11"/>
  <c r="T19" i="11" s="1"/>
  <c r="Z19" i="11" s="1"/>
  <c r="K15" i="11"/>
  <c r="L15" i="11" s="1"/>
  <c r="W15" i="11" s="1"/>
  <c r="Y15" i="11" s="1"/>
  <c r="K18" i="11"/>
  <c r="L18" i="11" s="1"/>
  <c r="K17" i="11"/>
  <c r="L17" i="11" s="1"/>
  <c r="K16" i="11"/>
  <c r="L16" i="11" s="1"/>
  <c r="M24" i="11" l="1"/>
  <c r="Z15" i="11"/>
  <c r="N24" i="11" l="1"/>
  <c r="O24" i="11" s="1"/>
  <c r="P24" i="11" s="1"/>
  <c r="Q24" i="11" l="1"/>
  <c r="R24" i="11" s="1"/>
  <c r="P23" i="11"/>
  <c r="P22" i="11"/>
  <c r="P21" i="11"/>
  <c r="P20" i="11"/>
  <c r="Q21" i="11" l="1"/>
  <c r="R21" i="11" s="1"/>
  <c r="S21" i="11"/>
  <c r="T21" i="11" s="1"/>
  <c r="Z21" i="11" s="1"/>
  <c r="Q20" i="11"/>
  <c r="S20" i="11"/>
  <c r="K24" i="11"/>
  <c r="Q23" i="11"/>
  <c r="R23" i="11" s="1"/>
  <c r="S23" i="11"/>
  <c r="T23" i="11" s="1"/>
  <c r="Z23" i="11" s="1"/>
  <c r="Q22" i="11"/>
  <c r="S22" i="11"/>
  <c r="T22" i="11" s="1"/>
  <c r="Z22" i="11" s="1"/>
  <c r="K21" i="11" l="1"/>
  <c r="L21" i="11" s="1"/>
  <c r="W21" i="11" s="1"/>
  <c r="Y21" i="11" s="1"/>
  <c r="K22" i="11"/>
  <c r="L22" i="11" s="1"/>
  <c r="W22" i="11" s="1"/>
  <c r="Y22" i="11" s="1"/>
  <c r="K20" i="11"/>
  <c r="L20" i="11" s="1"/>
  <c r="W20" i="11" s="1"/>
  <c r="Y20" i="11" s="1"/>
  <c r="K23" i="11"/>
  <c r="L23" i="11" s="1"/>
  <c r="W23" i="11" s="1"/>
  <c r="Y23" i="11" s="1"/>
  <c r="S24" i="11"/>
  <c r="V24" i="11" s="1"/>
  <c r="M29" i="11" s="1"/>
  <c r="N29" i="11" s="1"/>
  <c r="O29" i="11" s="1"/>
  <c r="P29" i="11" s="1"/>
  <c r="T20" i="11"/>
  <c r="T24" i="11" s="1"/>
  <c r="Z24" i="11" s="1"/>
  <c r="P26" i="11" l="1"/>
  <c r="P28" i="11"/>
  <c r="P27" i="11"/>
  <c r="Q29" i="11"/>
  <c r="R29" i="11" s="1"/>
  <c r="P25" i="11"/>
  <c r="Z20" i="11"/>
  <c r="Q25" i="11" l="1"/>
  <c r="S25" i="11"/>
  <c r="K29" i="11"/>
  <c r="S27" i="11"/>
  <c r="T27" i="11" s="1"/>
  <c r="Z27" i="11" s="1"/>
  <c r="Q27" i="11"/>
  <c r="Q28" i="11"/>
  <c r="R28" i="11" s="1"/>
  <c r="S28" i="11"/>
  <c r="T28" i="11" s="1"/>
  <c r="Z28" i="11" s="1"/>
  <c r="Q26" i="11"/>
  <c r="R26" i="11" s="1"/>
  <c r="S26" i="11"/>
  <c r="T26" i="11" s="1"/>
  <c r="Z26" i="11" s="1"/>
  <c r="K26" i="11" l="1"/>
  <c r="L26" i="11" s="1"/>
  <c r="W26" i="11" s="1"/>
  <c r="Y26" i="11" s="1"/>
  <c r="K28" i="11"/>
  <c r="L28" i="11" s="1"/>
  <c r="W28" i="11" s="1"/>
  <c r="Y28" i="11" s="1"/>
  <c r="K25" i="11"/>
  <c r="L25" i="11" s="1"/>
  <c r="W25" i="11" s="1"/>
  <c r="Y25" i="11" s="1"/>
  <c r="K27" i="11"/>
  <c r="L27" i="11" s="1"/>
  <c r="W27" i="11" s="1"/>
  <c r="Y27" i="11" s="1"/>
  <c r="S29" i="11"/>
  <c r="V29" i="11" s="1"/>
  <c r="M34" i="11" s="1"/>
  <c r="N34" i="11" s="1"/>
  <c r="O34" i="11" s="1"/>
  <c r="P34" i="11" s="1"/>
  <c r="T25" i="11"/>
  <c r="P33" i="11" l="1"/>
  <c r="P31" i="11"/>
  <c r="P32" i="11"/>
  <c r="P30" i="11"/>
  <c r="Q34" i="11"/>
  <c r="R34" i="11" s="1"/>
  <c r="T29" i="11"/>
  <c r="Z29" i="11" s="1"/>
  <c r="Z25" i="11"/>
  <c r="Q30" i="11" l="1"/>
  <c r="S30" i="11"/>
  <c r="K34" i="11"/>
  <c r="Q32" i="11"/>
  <c r="S32" i="11"/>
  <c r="T32" i="11" s="1"/>
  <c r="Z32" i="11" s="1"/>
  <c r="S31" i="11"/>
  <c r="T31" i="11" s="1"/>
  <c r="Z31" i="11" s="1"/>
  <c r="Q31" i="11"/>
  <c r="R31" i="11" s="1"/>
  <c r="Q33" i="11"/>
  <c r="R33" i="11" s="1"/>
  <c r="S33" i="11"/>
  <c r="T33" i="11" s="1"/>
  <c r="Z33" i="11" s="1"/>
  <c r="K32" i="11" l="1"/>
  <c r="L32" i="11" s="1"/>
  <c r="W32" i="11" s="1"/>
  <c r="Y32" i="11" s="1"/>
  <c r="K30" i="11"/>
  <c r="L30" i="11" s="1"/>
  <c r="W30" i="11" s="1"/>
  <c r="Y30" i="11" s="1"/>
  <c r="K33" i="11"/>
  <c r="L33" i="11" s="1"/>
  <c r="W33" i="11" s="1"/>
  <c r="Y33" i="11" s="1"/>
  <c r="K31" i="11"/>
  <c r="L31" i="11" s="1"/>
  <c r="W31" i="11" s="1"/>
  <c r="Y31" i="11" s="1"/>
  <c r="S34" i="11"/>
  <c r="V34" i="11" s="1"/>
  <c r="M39" i="11" s="1"/>
  <c r="N39" i="11" s="1"/>
  <c r="O39" i="11" s="1"/>
  <c r="P39" i="11" s="1"/>
  <c r="T30" i="11"/>
  <c r="Z30" i="11" l="1"/>
  <c r="T34" i="11"/>
  <c r="Z34" i="11" s="1"/>
  <c r="P38" i="11"/>
  <c r="Q39" i="11"/>
  <c r="R39" i="11" s="1"/>
  <c r="P37" i="11"/>
  <c r="P35" i="11"/>
  <c r="P36" i="11"/>
  <c r="Q35" i="11" l="1"/>
  <c r="S35" i="11"/>
  <c r="K39" i="11"/>
  <c r="Q37" i="11"/>
  <c r="S37" i="11"/>
  <c r="T37" i="11" s="1"/>
  <c r="Z37" i="11" s="1"/>
  <c r="Q36" i="11"/>
  <c r="R36" i="11" s="1"/>
  <c r="S36" i="11"/>
  <c r="T36" i="11" s="1"/>
  <c r="Z36" i="11" s="1"/>
  <c r="S38" i="11"/>
  <c r="T38" i="11" s="1"/>
  <c r="Z38" i="11" s="1"/>
  <c r="Q38" i="11"/>
  <c r="R38" i="11" s="1"/>
  <c r="K37" i="11" l="1"/>
  <c r="L37" i="11" s="1"/>
  <c r="W37" i="11" s="1"/>
  <c r="Y37" i="11" s="1"/>
  <c r="K35" i="11"/>
  <c r="L35" i="11" s="1"/>
  <c r="W35" i="11" s="1"/>
  <c r="Y35" i="11" s="1"/>
  <c r="K38" i="11"/>
  <c r="L38" i="11" s="1"/>
  <c r="W38" i="11" s="1"/>
  <c r="Y38" i="11" s="1"/>
  <c r="K36" i="11"/>
  <c r="L36" i="11" s="1"/>
  <c r="W36" i="11" s="1"/>
  <c r="Y36" i="11" s="1"/>
  <c r="S39" i="11"/>
  <c r="V39" i="11" s="1"/>
  <c r="M44" i="11" s="1"/>
  <c r="N44" i="11" s="1"/>
  <c r="O44" i="11" s="1"/>
  <c r="P44" i="11" s="1"/>
  <c r="T35" i="11"/>
  <c r="P42" i="11" l="1"/>
  <c r="P43" i="11"/>
  <c r="P41" i="11"/>
  <c r="P40" i="11"/>
  <c r="Q44" i="11"/>
  <c r="R44" i="11" s="1"/>
  <c r="T39" i="11"/>
  <c r="Z39" i="11" s="1"/>
  <c r="Z35" i="11"/>
  <c r="Q40" i="11" l="1"/>
  <c r="S40" i="11"/>
  <c r="K44" i="11"/>
  <c r="Q41" i="11"/>
  <c r="R41" i="11" s="1"/>
  <c r="S41" i="11"/>
  <c r="T41" i="11" s="1"/>
  <c r="Z41" i="11" s="1"/>
  <c r="S43" i="11"/>
  <c r="T43" i="11" s="1"/>
  <c r="Z43" i="11" s="1"/>
  <c r="Q43" i="11"/>
  <c r="R43" i="11" s="1"/>
  <c r="S42" i="11"/>
  <c r="T42" i="11" s="1"/>
  <c r="Z42" i="11" s="1"/>
  <c r="Q42" i="11"/>
  <c r="K40" i="11" l="1"/>
  <c r="L40" i="11" s="1"/>
  <c r="W40" i="11" s="1"/>
  <c r="Y40" i="11" s="1"/>
  <c r="K41" i="11"/>
  <c r="L41" i="11" s="1"/>
  <c r="W41" i="11" s="1"/>
  <c r="Y41" i="11" s="1"/>
  <c r="K42" i="11"/>
  <c r="L42" i="11" s="1"/>
  <c r="W42" i="11" s="1"/>
  <c r="Y42" i="11" s="1"/>
  <c r="K43" i="11"/>
  <c r="L43" i="11" s="1"/>
  <c r="W43" i="11" s="1"/>
  <c r="Y43" i="11" s="1"/>
  <c r="S44" i="11"/>
  <c r="V44" i="11" s="1"/>
  <c r="M49" i="11" s="1"/>
  <c r="N49" i="11" s="1"/>
  <c r="O49" i="11" s="1"/>
  <c r="P49" i="11" s="1"/>
  <c r="T40" i="11"/>
  <c r="T44" i="11" l="1"/>
  <c r="Z44" i="11" s="1"/>
  <c r="Z40" i="11"/>
  <c r="Q49" i="11"/>
  <c r="R49" i="11" s="1"/>
  <c r="P46" i="11"/>
  <c r="P45" i="11"/>
  <c r="P47" i="11"/>
  <c r="P48" i="11"/>
  <c r="Q47" i="11" l="1"/>
  <c r="S47" i="11"/>
  <c r="T47" i="11" s="1"/>
  <c r="Z47" i="11" s="1"/>
  <c r="Q48" i="11"/>
  <c r="R48" i="11" s="1"/>
  <c r="S48" i="11"/>
  <c r="T48" i="11" s="1"/>
  <c r="Z48" i="11" s="1"/>
  <c r="Q45" i="11"/>
  <c r="S45" i="11"/>
  <c r="K49" i="11"/>
  <c r="Q46" i="11"/>
  <c r="R46" i="11" s="1"/>
  <c r="S46" i="11"/>
  <c r="T46" i="11" s="1"/>
  <c r="Z46" i="11" s="1"/>
  <c r="K47" i="11" l="1"/>
  <c r="L47" i="11" s="1"/>
  <c r="W47" i="11" s="1"/>
  <c r="Y47" i="11" s="1"/>
  <c r="K46" i="11"/>
  <c r="L46" i="11" s="1"/>
  <c r="W46" i="11" s="1"/>
  <c r="Y46" i="11" s="1"/>
  <c r="K45" i="11"/>
  <c r="L45" i="11" s="1"/>
  <c r="W45" i="11" s="1"/>
  <c r="Y45" i="11" s="1"/>
  <c r="K48" i="11"/>
  <c r="L48" i="11" s="1"/>
  <c r="W48" i="11" s="1"/>
  <c r="Y48" i="11" s="1"/>
  <c r="S49" i="11"/>
  <c r="V49" i="11" s="1"/>
  <c r="M54" i="11" s="1"/>
  <c r="N54" i="11" s="1"/>
  <c r="O54" i="11" s="1"/>
  <c r="P54" i="11" s="1"/>
  <c r="T45" i="11"/>
  <c r="T49" i="11" l="1"/>
  <c r="Z49" i="11" s="1"/>
  <c r="Z45" i="11"/>
  <c r="P50" i="11"/>
  <c r="P53" i="11"/>
  <c r="P51" i="11"/>
  <c r="Q54" i="11"/>
  <c r="R54" i="11" s="1"/>
  <c r="P52" i="11"/>
  <c r="Q52" i="11" l="1"/>
  <c r="S52" i="11"/>
  <c r="T52" i="11" s="1"/>
  <c r="Z52" i="11" s="1"/>
  <c r="Q51" i="11"/>
  <c r="R51" i="11" s="1"/>
  <c r="S51" i="11"/>
  <c r="T51" i="11" s="1"/>
  <c r="Z51" i="11" s="1"/>
  <c r="Q53" i="11"/>
  <c r="R53" i="11" s="1"/>
  <c r="S53" i="11"/>
  <c r="T53" i="11" s="1"/>
  <c r="Z53" i="11" s="1"/>
  <c r="Q50" i="11"/>
  <c r="S50" i="11"/>
  <c r="K54" i="11"/>
  <c r="K50" i="11" l="1"/>
  <c r="L50" i="11" s="1"/>
  <c r="W50" i="11" s="1"/>
  <c r="Y50" i="11" s="1"/>
  <c r="K53" i="11"/>
  <c r="L53" i="11" s="1"/>
  <c r="W53" i="11" s="1"/>
  <c r="Y53" i="11" s="1"/>
  <c r="K51" i="11"/>
  <c r="L51" i="11" s="1"/>
  <c r="W51" i="11" s="1"/>
  <c r="Y51" i="11" s="1"/>
  <c r="K52" i="11"/>
  <c r="L52" i="11" s="1"/>
  <c r="W52" i="11" s="1"/>
  <c r="Y52" i="11" s="1"/>
  <c r="T50" i="11"/>
  <c r="S54" i="11"/>
  <c r="V54" i="11" s="1"/>
  <c r="M59" i="11" s="1"/>
  <c r="N59" i="11" s="1"/>
  <c r="O59" i="11" s="1"/>
  <c r="P59" i="11" s="1"/>
  <c r="P57" i="11" l="1"/>
  <c r="Q59" i="11"/>
  <c r="R59" i="11" s="1"/>
  <c r="P58" i="11"/>
  <c r="P56" i="11"/>
  <c r="P55" i="11"/>
  <c r="Z50" i="11"/>
  <c r="T54" i="11"/>
  <c r="Z54" i="11" s="1"/>
  <c r="Q55" i="11" l="1"/>
  <c r="S55" i="11"/>
  <c r="K59" i="11"/>
  <c r="S56" i="11"/>
  <c r="T56" i="11" s="1"/>
  <c r="Z56" i="11" s="1"/>
  <c r="Q56" i="11"/>
  <c r="R56" i="11" s="1"/>
  <c r="Q58" i="11"/>
  <c r="R58" i="11" s="1"/>
  <c r="S58" i="11"/>
  <c r="T58" i="11" s="1"/>
  <c r="Z58" i="11" s="1"/>
  <c r="S57" i="11"/>
  <c r="T57" i="11" s="1"/>
  <c r="Z57" i="11" s="1"/>
  <c r="Q57" i="11"/>
  <c r="S59" i="11" l="1"/>
  <c r="V59" i="11" s="1"/>
  <c r="M64" i="11" s="1"/>
  <c r="N64" i="11" s="1"/>
  <c r="O64" i="11" s="1"/>
  <c r="P64" i="11" s="1"/>
  <c r="T55" i="11"/>
  <c r="K56" i="11"/>
  <c r="L56" i="11" s="1"/>
  <c r="W56" i="11" s="1"/>
  <c r="Y56" i="11" s="1"/>
  <c r="K58" i="11"/>
  <c r="L58" i="11" s="1"/>
  <c r="W58" i="11" s="1"/>
  <c r="Y58" i="11" s="1"/>
  <c r="K55" i="11"/>
  <c r="L55" i="11" s="1"/>
  <c r="W55" i="11" s="1"/>
  <c r="Y55" i="11" s="1"/>
  <c r="K57" i="11"/>
  <c r="L57" i="11" s="1"/>
  <c r="W57" i="11" s="1"/>
  <c r="Y57" i="11" s="1"/>
  <c r="T59" i="11" l="1"/>
  <c r="Z59" i="11" s="1"/>
  <c r="Z55" i="11"/>
  <c r="P61" i="11"/>
  <c r="P62" i="11"/>
  <c r="Q64" i="11"/>
  <c r="R64" i="11" s="1"/>
  <c r="P63" i="11"/>
  <c r="P60" i="11"/>
  <c r="Q60" i="11" l="1"/>
  <c r="S60" i="11"/>
  <c r="K64" i="11"/>
  <c r="S63" i="11"/>
  <c r="T63" i="11" s="1"/>
  <c r="Z63" i="11" s="1"/>
  <c r="Q63" i="11"/>
  <c r="R63" i="11" s="1"/>
  <c r="Q62" i="11"/>
  <c r="S62" i="11"/>
  <c r="T62" i="11" s="1"/>
  <c r="Z62" i="11" s="1"/>
  <c r="Q61" i="11"/>
  <c r="R61" i="11" s="1"/>
  <c r="S61" i="11"/>
  <c r="T61" i="11" s="1"/>
  <c r="Z61" i="11" s="1"/>
  <c r="K63" i="11" l="1"/>
  <c r="L63" i="11" s="1"/>
  <c r="W63" i="11" s="1"/>
  <c r="Y63" i="11" s="1"/>
  <c r="K61" i="11"/>
  <c r="L61" i="11" s="1"/>
  <c r="W61" i="11" s="1"/>
  <c r="Y61" i="11" s="1"/>
  <c r="K62" i="11"/>
  <c r="L62" i="11" s="1"/>
  <c r="W62" i="11" s="1"/>
  <c r="Y62" i="11" s="1"/>
  <c r="K60" i="11"/>
  <c r="L60" i="11" s="1"/>
  <c r="W60" i="11" s="1"/>
  <c r="Y60" i="11" s="1"/>
  <c r="S64" i="11"/>
  <c r="V64" i="11" s="1"/>
  <c r="M69" i="11" s="1"/>
  <c r="N69" i="11" s="1"/>
  <c r="O69" i="11" s="1"/>
  <c r="P69" i="11" s="1"/>
  <c r="T60" i="11"/>
  <c r="P68" i="11" l="1"/>
  <c r="Q69" i="11"/>
  <c r="R69" i="11" s="1"/>
  <c r="P66" i="11"/>
  <c r="P67" i="11"/>
  <c r="P65" i="11"/>
  <c r="T64" i="11"/>
  <c r="Z64" i="11" s="1"/>
  <c r="Z60" i="11"/>
  <c r="Q66" i="11" l="1"/>
  <c r="R66" i="11" s="1"/>
  <c r="S66" i="11"/>
  <c r="T66" i="11" s="1"/>
  <c r="Z66" i="11" s="1"/>
  <c r="Q65" i="11"/>
  <c r="S65" i="11"/>
  <c r="K69" i="11"/>
  <c r="S67" i="11"/>
  <c r="T67" i="11" s="1"/>
  <c r="Z67" i="11" s="1"/>
  <c r="Q67" i="11"/>
  <c r="Q68" i="11"/>
  <c r="R68" i="11" s="1"/>
  <c r="S68" i="11"/>
  <c r="T68" i="11" s="1"/>
  <c r="Z68" i="11" s="1"/>
  <c r="T65" i="11" l="1"/>
  <c r="S69" i="11"/>
  <c r="V69" i="11" s="1"/>
  <c r="M74" i="11" s="1"/>
  <c r="N74" i="11" s="1"/>
  <c r="O74" i="11" s="1"/>
  <c r="P74" i="11" s="1"/>
  <c r="K67" i="11"/>
  <c r="L67" i="11" s="1"/>
  <c r="W67" i="11" s="1"/>
  <c r="Y67" i="11" s="1"/>
  <c r="K68" i="11"/>
  <c r="L68" i="11" s="1"/>
  <c r="W68" i="11" s="1"/>
  <c r="Y68" i="11" s="1"/>
  <c r="K65" i="11"/>
  <c r="L65" i="11" s="1"/>
  <c r="W65" i="11" s="1"/>
  <c r="Y65" i="11" s="1"/>
  <c r="K66" i="11"/>
  <c r="L66" i="11" s="1"/>
  <c r="W66" i="11" s="1"/>
  <c r="Y66" i="11" s="1"/>
  <c r="P70" i="11" l="1"/>
  <c r="P73" i="11"/>
  <c r="Q74" i="11"/>
  <c r="R74" i="11" s="1"/>
  <c r="P71" i="11"/>
  <c r="P72" i="11"/>
  <c r="T69" i="11"/>
  <c r="Z69" i="11" s="1"/>
  <c r="Z65" i="11"/>
  <c r="W17" i="11"/>
  <c r="Y17" i="11" s="1"/>
  <c r="W16" i="11"/>
  <c r="Y16" i="11" s="1"/>
  <c r="Q70" i="11" l="1"/>
  <c r="S70" i="11"/>
  <c r="K74" i="11"/>
  <c r="Q72" i="11"/>
  <c r="S72" i="11"/>
  <c r="T72" i="11" s="1"/>
  <c r="Z72" i="11" s="1"/>
  <c r="Q71" i="11"/>
  <c r="R71" i="11" s="1"/>
  <c r="S71" i="11"/>
  <c r="T71" i="11" s="1"/>
  <c r="Z71" i="11" s="1"/>
  <c r="S73" i="11"/>
  <c r="T73" i="11" s="1"/>
  <c r="Z73" i="11" s="1"/>
  <c r="Q73" i="11"/>
  <c r="R73" i="11" s="1"/>
  <c r="W18" i="11"/>
  <c r="Y18" i="11" s="1"/>
  <c r="T70" i="11" l="1"/>
  <c r="S74" i="11"/>
  <c r="V74" i="11" s="1"/>
  <c r="K71" i="11"/>
  <c r="L71" i="11" s="1"/>
  <c r="W71" i="11" s="1"/>
  <c r="Y71" i="11" s="1"/>
  <c r="K72" i="11"/>
  <c r="L72" i="11" s="1"/>
  <c r="W72" i="11" s="1"/>
  <c r="Y72" i="11" s="1"/>
  <c r="K70" i="11"/>
  <c r="L70" i="11" s="1"/>
  <c r="W70" i="11" s="1"/>
  <c r="Y70" i="11" s="1"/>
  <c r="K73" i="11"/>
  <c r="L73" i="11" s="1"/>
  <c r="W73" i="11" s="1"/>
  <c r="Y73" i="11" s="1"/>
  <c r="S4" i="11"/>
  <c r="T74" i="11" l="1"/>
  <c r="Z74" i="11" s="1"/>
  <c r="Z70" i="11"/>
  <c r="W4" i="11"/>
  <c r="T4" i="11" l="1"/>
  <c r="V4" i="1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nection" type="104" refreshedVersion="0" background="1">
    <extLst>
      <ext xmlns:x15="http://schemas.microsoft.com/office/spreadsheetml/2010/11/main" uri="{DE250136-89BD-433C-8126-D09CA5730AF9}">
        <x15:connection id="T_Transactions"/>
      </ext>
    </extLst>
  </connection>
  <connection id="2" xr16:uid="{00000000-0015-0000-FFFF-FFFF01000000}" name="Connection1" type="104" refreshedVersion="0" background="1">
    <extLst>
      <ext xmlns:x15="http://schemas.microsoft.com/office/spreadsheetml/2010/11/main" uri="{DE250136-89BD-433C-8126-D09CA5730AF9}">
        <x15:connection id="T_Contributions"/>
      </ext>
    </extLst>
  </connection>
  <connection id="3" xr16:uid="{00000000-0015-0000-FFFF-FFFF02000000}" name="Connection2" type="104" refreshedVersion="0" background="1">
    <extLst>
      <ext xmlns:x15="http://schemas.microsoft.com/office/spreadsheetml/2010/11/main" uri="{DE250136-89BD-433C-8126-D09CA5730AF9}">
        <x15:connection id="T_Participants"/>
      </ext>
    </extLst>
  </connection>
  <connection id="4" xr16:uid="{00000000-0015-0000-FFFF-FFFF03000000}" keepAlive="1" name="ThisWorkbookDataModel" description="Data Model" type="5" refreshedVersion="6" minRefreshableVersion="5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<sst xmlns="http://schemas.openxmlformats.org/spreadsheetml/2006/main" count="464" uniqueCount="161">
  <si>
    <t>Contribution</t>
  </si>
  <si>
    <t>€</t>
  </si>
  <si>
    <t>%</t>
  </si>
  <si>
    <t>Alphonse</t>
  </si>
  <si>
    <t>Total</t>
  </si>
  <si>
    <t xml:space="preserve">% </t>
  </si>
  <si>
    <t>Equity</t>
  </si>
  <si>
    <t>Flex</t>
  </si>
  <si>
    <t xml:space="preserve"> Total remuneration</t>
  </si>
  <si>
    <t>Shares</t>
  </si>
  <si>
    <t>#</t>
  </si>
  <si>
    <t>Discount rate</t>
  </si>
  <si>
    <t>Discounted value</t>
  </si>
  <si>
    <t>Revenues</t>
  </si>
  <si>
    <r>
      <t>Shares</t>
    </r>
    <r>
      <rPr>
        <i/>
        <sz val="11"/>
        <rFont val="Open Sans"/>
        <family val="2"/>
      </rPr>
      <t xml:space="preserve"> (10 €/share)</t>
    </r>
  </si>
  <si>
    <t>Rent</t>
  </si>
  <si>
    <t>Distributions</t>
  </si>
  <si>
    <r>
      <t xml:space="preserve">Distributions </t>
    </r>
    <r>
      <rPr>
        <vertAlign val="superscript"/>
        <sz val="11"/>
        <rFont val="Open Sans"/>
        <family val="2"/>
      </rPr>
      <t>1</t>
    </r>
  </si>
  <si>
    <t>Funding</t>
  </si>
  <si>
    <t>Type</t>
  </si>
  <si>
    <t>Nature</t>
  </si>
  <si>
    <t>Third Party</t>
  </si>
  <si>
    <t>Amount €</t>
  </si>
  <si>
    <t>Risk factor, %</t>
  </si>
  <si>
    <t>Risk €</t>
  </si>
  <si>
    <t>Cash balance</t>
  </si>
  <si>
    <t>Commercial</t>
  </si>
  <si>
    <t>Start</t>
  </si>
  <si>
    <t>Finish</t>
  </si>
  <si>
    <t>Cash, €</t>
  </si>
  <si>
    <t>Credit, €</t>
  </si>
  <si>
    <t>Amount, €</t>
  </si>
  <si>
    <t>Cash, %</t>
  </si>
  <si>
    <t>Flex, %</t>
  </si>
  <si>
    <t>Credit, %</t>
  </si>
  <si>
    <t>Total, %</t>
  </si>
  <si>
    <t>Total, €</t>
  </si>
  <si>
    <t>Token Index, €/#</t>
  </si>
  <si>
    <t>Project name</t>
  </si>
  <si>
    <t>Project start date</t>
  </si>
  <si>
    <t>Token price indexing rate</t>
  </si>
  <si>
    <t xml:space="preserve">Updated on </t>
  </si>
  <si>
    <t>Café Alphonse</t>
  </si>
  <si>
    <t>Work</t>
  </si>
  <si>
    <t>Base reserve, €</t>
  </si>
  <si>
    <t>Cash balance &amp; Resolution</t>
  </si>
  <si>
    <t>Payment terms</t>
  </si>
  <si>
    <t>Groceries</t>
  </si>
  <si>
    <t>Equipment</t>
  </si>
  <si>
    <t>Base reserve</t>
  </si>
  <si>
    <t>Cash balance after, €</t>
  </si>
  <si>
    <t>Cash balance before, €</t>
  </si>
  <si>
    <t>Flex residue, €</t>
  </si>
  <si>
    <t>Flex residue, %</t>
  </si>
  <si>
    <t>Flex payable, %</t>
  </si>
  <si>
    <t>Cash available for flex, €</t>
  </si>
  <si>
    <t>Tokens Issued, #</t>
  </si>
  <si>
    <t>Credit Issued, €</t>
  </si>
  <si>
    <t>Payment</t>
  </si>
  <si>
    <t>project_start</t>
  </si>
  <si>
    <t>token_initial_index</t>
  </si>
  <si>
    <t>token_inflation</t>
  </si>
  <si>
    <t>current_date</t>
  </si>
  <si>
    <t>base_reserve</t>
  </si>
  <si>
    <t>Café Alphonse - Transactions</t>
  </si>
  <si>
    <t>@ time of issue</t>
  </si>
  <si>
    <t xml:space="preserve">Credit, € </t>
  </si>
  <si>
    <t xml:space="preserve">Cash, % </t>
  </si>
  <si>
    <t>Credit %</t>
  </si>
  <si>
    <t>Equity, %</t>
  </si>
  <si>
    <t>Grand Total</t>
  </si>
  <si>
    <t>Suppliers</t>
  </si>
  <si>
    <t>Landlord</t>
  </si>
  <si>
    <t>Clients</t>
  </si>
  <si>
    <t xml:space="preserve">Tokens Issued, # </t>
  </si>
  <si>
    <t>Token start price, €</t>
  </si>
  <si>
    <t>token_current_index</t>
  </si>
  <si>
    <t>Token current index, €</t>
  </si>
  <si>
    <t>Token, €
on issue</t>
  </si>
  <si>
    <t>Sum of Credit Issued, €</t>
  </si>
  <si>
    <t>Distribution</t>
  </si>
  <si>
    <r>
      <t xml:space="preserve">Token, €
</t>
    </r>
    <r>
      <rPr>
        <sz val="10"/>
        <color theme="1"/>
        <rFont val="Open Sans"/>
        <family val="2"/>
      </rPr>
      <t>notional</t>
    </r>
  </si>
  <si>
    <r>
      <t xml:space="preserve">Equity, €
</t>
    </r>
    <r>
      <rPr>
        <sz val="10"/>
        <color theme="1"/>
        <rFont val="Open Sans"/>
        <family val="2"/>
      </rPr>
      <t>notional</t>
    </r>
  </si>
  <si>
    <r>
      <t xml:space="preserve">Equity, €
</t>
    </r>
    <r>
      <rPr>
        <sz val="10"/>
        <color theme="1"/>
        <rFont val="Open Sans"/>
        <family val="2"/>
      </rPr>
      <t>liquidative</t>
    </r>
  </si>
  <si>
    <t>Initial revenue</t>
  </si>
  <si>
    <t>groceries_pc</t>
  </si>
  <si>
    <t>revenues_growth</t>
  </si>
  <si>
    <t>revenues_initial</t>
  </si>
  <si>
    <t>Average flex payable %</t>
  </si>
  <si>
    <r>
      <t xml:space="preserve">Credit, €
</t>
    </r>
    <r>
      <rPr>
        <sz val="10"/>
        <color theme="1"/>
        <rFont val="Open Sans"/>
        <family val="2"/>
      </rPr>
      <t>discounted</t>
    </r>
  </si>
  <si>
    <t>credit_risk</t>
  </si>
  <si>
    <t>flex_risk</t>
  </si>
  <si>
    <t>2023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</si>
  <si>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</si>
  <si>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</si>
  <si>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</si>
  <si>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</si>
  <si>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</si>
  <si>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</si>
  <si>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</si>
  <si>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</si>
  <si>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</si>
  <si>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</si>
  <si>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</si>
  <si>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</si>
  <si>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Column Labels</t>
  </si>
  <si>
    <t>2022</t>
  </si>
  <si>
    <t xml:space="preserve">Amount, € </t>
  </si>
  <si>
    <t xml:space="preserve">Cash, € </t>
  </si>
  <si>
    <t>Invest.</t>
  </si>
  <si>
    <t>Investor</t>
  </si>
  <si>
    <t>Credit buy-back</t>
  </si>
  <si>
    <t>Distribution, €</t>
  </si>
  <si>
    <t>@ end of year</t>
  </si>
  <si>
    <t>credit_buyback</t>
  </si>
  <si>
    <t>Participant</t>
  </si>
  <si>
    <t>Net, end of year, €</t>
  </si>
  <si>
    <t>Annual allocations</t>
  </si>
  <si>
    <t xml:space="preserve">Token % </t>
  </si>
  <si>
    <t>Credit Buy back, €</t>
  </si>
  <si>
    <t>Resolution</t>
  </si>
  <si>
    <t>Flex resolution</t>
  </si>
  <si>
    <t>Paid, €</t>
  </si>
  <si>
    <t>Nominal, €</t>
  </si>
  <si>
    <t>Credits, €</t>
  </si>
  <si>
    <t>Excess cash</t>
  </si>
  <si>
    <t>Token index</t>
  </si>
  <si>
    <t>Tokens, #</t>
  </si>
  <si>
    <t>Sum of Tokens Issued, #</t>
  </si>
  <si>
    <t>Tokens, €</t>
  </si>
  <si>
    <t>Credits</t>
  </si>
  <si>
    <t>Tokens</t>
  </si>
  <si>
    <t>Credit Buyback</t>
  </si>
  <si>
    <t>Distribu_
tions</t>
  </si>
  <si>
    <t>Groceries percentage</t>
  </si>
  <si>
    <t>Revenues initial</t>
  </si>
  <si>
    <t>Revenues growth</t>
  </si>
  <si>
    <t>EOY</t>
  </si>
  <si>
    <t>Risk factor %</t>
  </si>
  <si>
    <t>Contract type</t>
  </si>
  <si>
    <t>Risk factor</t>
  </si>
  <si>
    <t>Payment structure</t>
  </si>
  <si>
    <t>Firm</t>
  </si>
  <si>
    <t>Credit</t>
  </si>
  <si>
    <t>Party</t>
  </si>
  <si>
    <t>% of remuneration</t>
  </si>
  <si>
    <t>Allocation</t>
  </si>
  <si>
    <t>Year 1 analysis</t>
  </si>
  <si>
    <t>End of year allocation of excess cash</t>
  </si>
  <si>
    <t>€/mo</t>
  </si>
  <si>
    <t>Total revenues + allocation</t>
  </si>
  <si>
    <t>Total equity</t>
  </si>
  <si>
    <t>Total allocation</t>
  </si>
  <si>
    <t>Equity after allocation*</t>
  </si>
  <si>
    <t>Equity before allocation *</t>
  </si>
  <si>
    <t>nr</t>
  </si>
  <si>
    <t>* Nominal value of credits: before risk adjusted discount. Nominal value of tokens= nr of tokens x token index.</t>
  </si>
  <si>
    <t>Café Alphonse - Assumptions</t>
  </si>
  <si>
    <t>Café Alphonse - Year 1 Overview</t>
  </si>
  <si>
    <t>Monthly view</t>
  </si>
  <si>
    <t>Annual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</si>
</sst>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2">
    <numFmt numFmtId="164" formatCode="&quot;&quot;#,##0&quot;&quot;;&quot;&quot;\-#,##0&quot;&quot;;&quot; &quot;\ \-\ &quot; &quot;"/>
    <numFmt numFmtId="165" formatCode="&quot;&quot;#,##0&quot; &quot;;&quot;&quot;\-#,##0&quot; &quot;;&quot; &quot;\ \-\ &quot; &quot;"/>
    <numFmt numFmtId="166" formatCode="&quot;&quot;0%&quot; &quot;;&quot;&quot;\ \-0%&quot; &quot;;&quot; &quot;\ \-\ &quot; &quot;"/>
    <numFmt numFmtId="167" formatCode="#,##0&quot; &quot;;\-#,##0&quot; &quot;;&quot; - &quot;;@"/>
    <numFmt numFmtId="168" formatCode="d\-mmm\-yyyy;@"/>
    <numFmt numFmtId="169" formatCode="&quot;&quot;#,##0.00&quot; &quot;;&quot;&quot;\ \-#,##0.00&quot; &quot;;&quot; &quot;\ \-\ &quot; &quot;"/>
    <numFmt numFmtId="170" formatCode="#,##0.00&quot; &quot;;\-#,##0.00&quot; &quot;;&quot; - &quot;;@"/>
    <numFmt numFmtId="171" formatCode="&quot;&quot;0%&quot; &quot;;&quot;&quot;\ \-0%&quot; &quot;;&quot; - &quot;;@"/>
    <numFmt numFmtId="172" formatCode="#,##0.00_ ;\-#,##0.00\ "/>
    <numFmt numFmtId="173" formatCode="#,##0.0&quot; &quot;;\-#,##0.0&quot; &quot;;&quot; - &quot;;@"/>
    <numFmt numFmtId="174" formatCode="&quot;&quot;#,##0.0&quot; &quot;;&quot;&quot;\-#,##0.0&quot; &quot;;&quot; &quot;\ \-\ &quot; &quot;"/>
    <numFmt numFmtId="175" formatCode="&quot;...&quot;;&quot;...&quot;;&quot;...&quot;;&quot;...&quot;"/>
  </numFmts>
  <fonts count="27" x14ac:knownFonts="1">
    <font>
      <sz val="11"/>
      <color theme="1"/>
      <name val="Calibri"/>
      <family val="2"/>
      <scheme val="minor"/>
    </font>
    <font>
      <sz val="10"/>
      <color theme="1"/>
      <name val="Open Sans"/>
      <family val="2"/>
    </font>
    <font>
      <sz val="10"/>
      <color theme="1"/>
      <name val="Open Sans"/>
      <family val="2"/>
    </font>
    <font>
      <sz val="10"/>
      <color theme="1"/>
      <name val="Open Sans"/>
      <family val="2"/>
    </font>
    <font>
      <b/>
      <u/>
      <sz val="14"/>
      <name val="Open Sans"/>
      <family val="2"/>
    </font>
    <font>
      <sz val="11"/>
      <name val="Open Sans"/>
      <family val="2"/>
    </font>
    <font>
      <b/>
      <sz val="11"/>
      <name val="Open Sans"/>
      <family val="2"/>
    </font>
    <font>
      <i/>
      <sz val="11"/>
      <name val="Open Sans"/>
      <family val="2"/>
    </font>
    <font>
      <vertAlign val="superscript"/>
      <sz val="11"/>
      <name val="Open Sans"/>
      <family val="2"/>
    </font>
    <font>
      <b/>
      <sz val="10"/>
      <color theme="1"/>
      <name val="Open Sans"/>
      <family val="2"/>
    </font>
    <font>
      <b/>
      <u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Open Sans"/>
      <family val="2"/>
    </font>
    <font>
      <sz val="10"/>
      <name val="Open Sans"/>
      <family val="2"/>
    </font>
    <font>
      <b/>
      <sz val="11"/>
      <color theme="1"/>
      <name val="Calibri"/>
      <family val="2"/>
      <scheme val="minor"/>
    </font>
    <font>
      <sz val="11"/>
      <color indexed="12"/>
      <name val="Calibri"/>
      <family val="2"/>
      <scheme val="minor"/>
    </font>
    <font>
      <sz val="10"/>
      <color rgb="FF00B050"/>
      <name val="Open Sans"/>
      <family val="2"/>
    </font>
    <font>
      <sz val="11"/>
      <color rgb="FF00B050"/>
      <name val="Calibri"/>
      <family val="2"/>
      <scheme val="minor"/>
    </font>
    <font>
      <sz val="11"/>
      <color rgb="FF0000FF"/>
      <name val="Calibri"/>
      <family val="2"/>
      <scheme val="minor"/>
    </font>
    <font>
      <sz val="10"/>
      <color theme="7" tint="0.79998168889431442"/>
      <name val="Open Sans"/>
      <family val="2"/>
    </font>
    <font>
      <sz val="11"/>
      <color rgb="FF1F3F5F"/>
      <name val="Open Sans"/>
      <family val="2"/>
    </font>
    <font>
      <b/>
      <u/>
      <sz val="14"/>
      <color rgb="FF1F3F5F"/>
      <name val="Open Sans"/>
      <family val="2"/>
    </font>
    <font>
      <b/>
      <sz val="11"/>
      <color rgb="FF1F3F5F"/>
      <name val="Open Sans"/>
      <family val="2"/>
    </font>
    <font>
      <sz val="10"/>
      <color rgb="FF1F3F5F"/>
      <name val="Open Sans"/>
      <family val="2"/>
    </font>
    <font>
      <b/>
      <i/>
      <sz val="11"/>
      <color rgb="FF1F3F5F"/>
      <name val="Open Sans"/>
      <family val="2"/>
    </font>
    <font>
      <i/>
      <sz val="11"/>
      <color rgb="FF1F3F5F"/>
      <name val="Open Sans"/>
      <family val="2"/>
    </font>
  </fonts>
  <fills count="20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theme="4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theme="4" tint="0.79995117038483843"/>
      </patternFill>
    </fill>
  </fills>
  <borders count="30">
    <border>
      <left/>
      <right/>
      <top/>
      <bottom/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/>
      <diagonal/>
    </border>
    <border>
      <left/>
      <right/>
      <top/>
      <bottom style="thin">
        <color rgb="FFBFBFBF"/>
      </bottom>
      <diagonal/>
    </border>
    <border>
      <left/>
      <right/>
      <top style="thin">
        <color rgb="FFBFBFBF"/>
      </top>
      <bottom/>
      <diagonal/>
    </border>
    <border>
      <left style="thin">
        <color theme="0" tint="-0.249977111117893"/>
      </left>
      <right/>
      <top/>
      <bottom style="thin">
        <color rgb="FFBFBFBF"/>
      </bottom>
      <diagonal/>
    </border>
    <border>
      <left style="thin">
        <color theme="0" tint="-0.249977111117893"/>
      </left>
      <right/>
      <top style="thin">
        <color rgb="FFBFBFBF"/>
      </top>
      <bottom/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 tint="-0.249977111117893"/>
      </left>
      <right/>
      <top/>
      <bottom style="thin">
        <color theme="4" tint="0.39997558519241921"/>
      </bottom>
      <diagonal/>
    </border>
    <border>
      <left/>
      <right style="thin">
        <color theme="0" tint="-0.249977111117893"/>
      </right>
      <top/>
      <bottom style="thin">
        <color theme="4" tint="0.39997558519241921"/>
      </bottom>
      <diagonal/>
    </border>
    <border>
      <left style="thin">
        <color theme="0" tint="-0.249977111117893"/>
      </left>
      <right/>
      <top style="thin">
        <color theme="4" tint="0.39997558519241921"/>
      </top>
      <bottom/>
      <diagonal/>
    </border>
    <border>
      <left/>
      <right style="thin">
        <color theme="0" tint="-0.249977111117893"/>
      </right>
      <top style="thin">
        <color theme="4" tint="0.39997558519241921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indexed="64"/>
      </bottom>
      <diagonal/>
    </border>
    <border>
      <left/>
      <right style="thin">
        <color theme="0" tint="-0.249977111117893"/>
      </right>
      <top/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343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4" xfId="0" applyFont="1" applyBorder="1" applyAlignment="1">
      <alignment vertical="center" readingOrder="1"/>
    </xf>
    <xf numFmtId="165" fontId="5" fillId="0" borderId="4" xfId="0" applyNumberFormat="1" applyFont="1" applyBorder="1" applyAlignment="1">
      <alignment horizontal="center" vertical="center" readingOrder="1"/>
    </xf>
    <xf numFmtId="0" fontId="5" fillId="0" borderId="4" xfId="0" applyFont="1" applyBorder="1" applyAlignment="1">
      <alignment horizontal="center" vertical="center" readingOrder="1"/>
    </xf>
    <xf numFmtId="0" fontId="5" fillId="0" borderId="0" xfId="0" applyFont="1" applyAlignment="1">
      <alignment vertical="center" readingOrder="1"/>
    </xf>
    <xf numFmtId="165" fontId="5" fillId="0" borderId="0" xfId="0" applyNumberFormat="1" applyFont="1" applyAlignment="1">
      <alignment horizontal="center" vertical="center" readingOrder="1"/>
    </xf>
    <xf numFmtId="9" fontId="5" fillId="0" borderId="0" xfId="0" applyNumberFormat="1" applyFont="1" applyAlignment="1">
      <alignment horizontal="center" vertical="center" readingOrder="1"/>
    </xf>
    <xf numFmtId="0" fontId="5" fillId="0" borderId="3" xfId="0" applyFont="1" applyBorder="1" applyAlignment="1">
      <alignment vertical="center" readingOrder="1"/>
    </xf>
    <xf numFmtId="9" fontId="5" fillId="0" borderId="3" xfId="0" applyNumberFormat="1" applyFont="1" applyBorder="1" applyAlignment="1">
      <alignment horizontal="center" vertical="center" readingOrder="1"/>
    </xf>
    <xf numFmtId="0" fontId="7" fillId="0" borderId="0" xfId="0" applyFont="1" applyAlignment="1">
      <alignment vertical="center" readingOrder="1"/>
    </xf>
    <xf numFmtId="0" fontId="5" fillId="0" borderId="7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 readingOrder="1"/>
    </xf>
    <xf numFmtId="0" fontId="6" fillId="2" borderId="3" xfId="0" applyFont="1" applyFill="1" applyBorder="1" applyAlignment="1">
      <alignment horizontal="center" vertical="center" readingOrder="1"/>
    </xf>
    <xf numFmtId="0" fontId="6" fillId="2" borderId="5" xfId="0" applyFont="1" applyFill="1" applyBorder="1" applyAlignment="1">
      <alignment horizontal="center" vertical="center" readingOrder="1"/>
    </xf>
    <xf numFmtId="0" fontId="5" fillId="0" borderId="6" xfId="0" applyFont="1" applyBorder="1" applyAlignment="1">
      <alignment horizontal="center" vertical="center" readingOrder="1"/>
    </xf>
    <xf numFmtId="0" fontId="5" fillId="0" borderId="3" xfId="0" applyFont="1" applyBorder="1" applyAlignment="1">
      <alignment horizontal="center" vertical="center" readingOrder="1"/>
    </xf>
    <xf numFmtId="165" fontId="5" fillId="0" borderId="3" xfId="0" applyNumberFormat="1" applyFont="1" applyBorder="1" applyAlignment="1">
      <alignment horizontal="center" vertical="center" readingOrder="1"/>
    </xf>
    <xf numFmtId="0" fontId="5" fillId="0" borderId="5" xfId="0" applyFont="1" applyBorder="1" applyAlignment="1">
      <alignment horizontal="center" vertical="center" readingOrder="1"/>
    </xf>
    <xf numFmtId="3" fontId="5" fillId="0" borderId="2" xfId="0" applyNumberFormat="1" applyFont="1" applyBorder="1" applyAlignment="1">
      <alignment horizontal="center" vertical="center" readingOrder="1"/>
    </xf>
    <xf numFmtId="165" fontId="5" fillId="0" borderId="2" xfId="0" applyNumberFormat="1" applyFont="1" applyBorder="1" applyAlignment="1">
      <alignment horizontal="center" vertical="center" readingOrder="1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9" fontId="5" fillId="0" borderId="5" xfId="0" applyNumberFormat="1" applyFont="1" applyBorder="1" applyAlignment="1">
      <alignment horizontal="center" vertical="center" readingOrder="1"/>
    </xf>
    <xf numFmtId="0" fontId="5" fillId="3" borderId="4" xfId="0" applyFont="1" applyFill="1" applyBorder="1" applyAlignment="1">
      <alignment vertical="center" readingOrder="1"/>
    </xf>
    <xf numFmtId="3" fontId="5" fillId="3" borderId="4" xfId="0" applyNumberFormat="1" applyFont="1" applyFill="1" applyBorder="1" applyAlignment="1">
      <alignment horizontal="center" vertical="center" readingOrder="1"/>
    </xf>
    <xf numFmtId="0" fontId="5" fillId="3" borderId="4" xfId="0" applyFont="1" applyFill="1" applyBorder="1" applyAlignment="1">
      <alignment horizontal="center" vertical="center" readingOrder="1"/>
    </xf>
    <xf numFmtId="3" fontId="5" fillId="3" borderId="6" xfId="0" applyNumberFormat="1" applyFont="1" applyFill="1" applyBorder="1" applyAlignment="1">
      <alignment horizontal="center" vertical="center" readingOrder="1"/>
    </xf>
    <xf numFmtId="9" fontId="5" fillId="0" borderId="2" xfId="0" applyNumberFormat="1" applyFont="1" applyBorder="1" applyAlignment="1">
      <alignment horizontal="center" vertical="center" readingOrder="1"/>
    </xf>
    <xf numFmtId="168" fontId="10" fillId="0" borderId="0" xfId="0" applyNumberFormat="1" applyFont="1" applyAlignment="1">
      <alignment vertical="center"/>
    </xf>
    <xf numFmtId="169" fontId="0" fillId="0" borderId="0" xfId="0" applyNumberFormat="1"/>
    <xf numFmtId="166" fontId="0" fillId="0" borderId="0" xfId="0" applyNumberFormat="1" applyAlignment="1">
      <alignment horizontal="center"/>
    </xf>
    <xf numFmtId="166" fontId="0" fillId="0" borderId="0" xfId="0" applyNumberFormat="1" applyAlignment="1">
      <alignment vertical="center"/>
    </xf>
    <xf numFmtId="170" fontId="0" fillId="0" borderId="0" xfId="0" applyNumberFormat="1"/>
    <xf numFmtId="171" fontId="0" fillId="0" borderId="0" xfId="0" applyNumberFormat="1"/>
    <xf numFmtId="168" fontId="0" fillId="0" borderId="0" xfId="0" applyNumberFormat="1" applyAlignment="1">
      <alignment horizontal="center" vertical="center"/>
    </xf>
    <xf numFmtId="167" fontId="0" fillId="0" borderId="0" xfId="0" applyNumberFormat="1"/>
    <xf numFmtId="0" fontId="0" fillId="7" borderId="0" xfId="0" applyFill="1"/>
    <xf numFmtId="171" fontId="0" fillId="7" borderId="0" xfId="0" applyNumberFormat="1" applyFill="1"/>
    <xf numFmtId="14" fontId="13" fillId="7" borderId="0" xfId="1" applyNumberFormat="1" applyFont="1" applyFill="1" applyAlignment="1">
      <alignment horizontal="center" vertical="center"/>
    </xf>
    <xf numFmtId="168" fontId="0" fillId="7" borderId="0" xfId="0" applyNumberFormat="1" applyFill="1" applyAlignment="1">
      <alignment horizontal="center" vertical="center"/>
    </xf>
    <xf numFmtId="171" fontId="5" fillId="0" borderId="0" xfId="0" applyNumberFormat="1" applyFont="1" applyAlignment="1">
      <alignment vertical="center"/>
    </xf>
    <xf numFmtId="0" fontId="5" fillId="7" borderId="0" xfId="0" applyFont="1" applyFill="1" applyAlignment="1">
      <alignment vertical="center"/>
    </xf>
    <xf numFmtId="171" fontId="5" fillId="7" borderId="0" xfId="0" applyNumberFormat="1" applyFont="1" applyFill="1" applyAlignment="1">
      <alignment vertical="center"/>
    </xf>
    <xf numFmtId="9" fontId="5" fillId="7" borderId="0" xfId="0" applyNumberFormat="1" applyFont="1" applyFill="1" applyAlignment="1">
      <alignment vertical="center"/>
    </xf>
    <xf numFmtId="171" fontId="13" fillId="5" borderId="1" xfId="1" applyNumberFormat="1" applyFont="1" applyFill="1" applyBorder="1" applyAlignment="1">
      <alignment horizontal="center" vertical="top" wrapText="1"/>
    </xf>
    <xf numFmtId="166" fontId="0" fillId="7" borderId="0" xfId="0" applyNumberFormat="1" applyFill="1" applyAlignment="1">
      <alignment vertical="center"/>
    </xf>
    <xf numFmtId="167" fontId="0" fillId="0" borderId="0" xfId="0" applyNumberFormat="1" applyAlignment="1">
      <alignment horizontal="center"/>
    </xf>
    <xf numFmtId="168" fontId="0" fillId="4" borderId="0" xfId="0" applyNumberFormat="1" applyFill="1" applyAlignment="1">
      <alignment horizontal="center" vertical="center"/>
    </xf>
    <xf numFmtId="0" fontId="0" fillId="4" borderId="0" xfId="0" applyFill="1"/>
    <xf numFmtId="166" fontId="0" fillId="4" borderId="0" xfId="0" applyNumberFormat="1" applyFill="1" applyAlignment="1">
      <alignment vertical="center"/>
    </xf>
    <xf numFmtId="166" fontId="0" fillId="4" borderId="0" xfId="0" applyNumberFormat="1" applyFill="1" applyAlignment="1">
      <alignment horizontal="center"/>
    </xf>
    <xf numFmtId="169" fontId="0" fillId="4" borderId="0" xfId="0" applyNumberFormat="1" applyFill="1"/>
    <xf numFmtId="170" fontId="0" fillId="4" borderId="0" xfId="0" applyNumberFormat="1" applyFill="1"/>
    <xf numFmtId="168" fontId="13" fillId="4" borderId="0" xfId="1" applyNumberFormat="1" applyFont="1" applyFill="1" applyAlignment="1">
      <alignment horizontal="center" vertical="center"/>
    </xf>
    <xf numFmtId="0" fontId="13" fillId="4" borderId="0" xfId="1" applyFont="1" applyFill="1" applyAlignment="1">
      <alignment horizontal="center" vertical="center" wrapText="1"/>
    </xf>
    <xf numFmtId="0" fontId="13" fillId="4" borderId="0" xfId="1" applyFont="1" applyFill="1" applyAlignment="1">
      <alignment horizontal="center" vertical="center"/>
    </xf>
    <xf numFmtId="170" fontId="13" fillId="4" borderId="0" xfId="1" applyNumberFormat="1" applyFont="1" applyFill="1" applyAlignment="1">
      <alignment horizontal="center" vertical="center" wrapText="1"/>
    </xf>
    <xf numFmtId="166" fontId="15" fillId="9" borderId="0" xfId="0" applyNumberFormat="1" applyFont="1" applyFill="1" applyAlignment="1">
      <alignment horizontal="centerContinuous" vertical="center" wrapText="1"/>
    </xf>
    <xf numFmtId="167" fontId="0" fillId="0" borderId="2" xfId="0" applyNumberFormat="1" applyBorder="1" applyAlignment="1">
      <alignment horizontal="center"/>
    </xf>
    <xf numFmtId="166" fontId="15" fillId="10" borderId="2" xfId="0" applyNumberFormat="1" applyFont="1" applyFill="1" applyBorder="1" applyAlignment="1">
      <alignment horizontal="centerContinuous" vertical="center" wrapText="1"/>
    </xf>
    <xf numFmtId="166" fontId="15" fillId="10" borderId="0" xfId="0" applyNumberFormat="1" applyFont="1" applyFill="1" applyAlignment="1">
      <alignment horizontal="centerContinuous" vertical="center" wrapText="1"/>
    </xf>
    <xf numFmtId="167" fontId="13" fillId="4" borderId="2" xfId="1" applyNumberFormat="1" applyFont="1" applyFill="1" applyBorder="1" applyAlignment="1">
      <alignment horizontal="center" vertical="center" wrapText="1"/>
    </xf>
    <xf numFmtId="167" fontId="13" fillId="4" borderId="0" xfId="1" applyNumberFormat="1" applyFont="1" applyFill="1" applyAlignment="1">
      <alignment horizontal="center" vertical="center" wrapText="1"/>
    </xf>
    <xf numFmtId="167" fontId="0" fillId="4" borderId="2" xfId="0" applyNumberFormat="1" applyFill="1" applyBorder="1" applyAlignment="1">
      <alignment horizontal="center"/>
    </xf>
    <xf numFmtId="167" fontId="0" fillId="4" borderId="0" xfId="0" applyNumberFormat="1" applyFill="1" applyAlignment="1">
      <alignment horizontal="center"/>
    </xf>
    <xf numFmtId="0" fontId="13" fillId="4" borderId="10" xfId="1" applyFont="1" applyFill="1" applyBorder="1" applyAlignment="1">
      <alignment horizontal="center" vertical="center" wrapText="1"/>
    </xf>
    <xf numFmtId="0" fontId="0" fillId="4" borderId="10" xfId="0" applyFill="1" applyBorder="1"/>
    <xf numFmtId="0" fontId="13" fillId="4" borderId="2" xfId="1" applyFont="1" applyFill="1" applyBorder="1" applyAlignment="1">
      <alignment horizontal="center" vertical="center" wrapText="1"/>
    </xf>
    <xf numFmtId="166" fontId="0" fillId="4" borderId="2" xfId="0" applyNumberFormat="1" applyFill="1" applyBorder="1" applyAlignment="1">
      <alignment horizontal="center"/>
    </xf>
    <xf numFmtId="166" fontId="0" fillId="0" borderId="2" xfId="0" applyNumberFormat="1" applyBorder="1" applyAlignment="1">
      <alignment horizontal="center"/>
    </xf>
    <xf numFmtId="0" fontId="0" fillId="0" borderId="0" xfId="0" applyAlignment="1">
      <alignment horizontal="center"/>
    </xf>
    <xf numFmtId="168" fontId="16" fillId="0" borderId="0" xfId="0" applyNumberFormat="1" applyFont="1" applyAlignment="1">
      <alignment horizontal="center" vertical="center"/>
    </xf>
    <xf numFmtId="168" fontId="16" fillId="0" borderId="1" xfId="0" applyNumberFormat="1" applyFont="1" applyBorder="1" applyAlignment="1">
      <alignment horizontal="center" vertical="center"/>
    </xf>
    <xf numFmtId="0" fontId="0" fillId="7" borderId="1" xfId="0" applyFill="1" applyBorder="1"/>
    <xf numFmtId="166" fontId="0" fillId="7" borderId="1" xfId="0" applyNumberFormat="1" applyFill="1" applyBorder="1" applyAlignment="1">
      <alignment vertical="center"/>
    </xf>
    <xf numFmtId="166" fontId="0" fillId="0" borderId="1" xfId="0" applyNumberFormat="1" applyBorder="1" applyAlignment="1">
      <alignment vertical="center"/>
    </xf>
    <xf numFmtId="166" fontId="0" fillId="0" borderId="11" xfId="0" applyNumberFormat="1" applyBorder="1" applyAlignment="1">
      <alignment horizontal="center"/>
    </xf>
    <xf numFmtId="171" fontId="0" fillId="0" borderId="1" xfId="0" applyNumberFormat="1" applyBorder="1"/>
    <xf numFmtId="167" fontId="0" fillId="0" borderId="11" xfId="0" applyNumberFormat="1" applyBorder="1" applyAlignment="1">
      <alignment horizontal="center"/>
    </xf>
    <xf numFmtId="167" fontId="0" fillId="0" borderId="1" xfId="0" applyNumberForma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9" fontId="0" fillId="0" borderId="1" xfId="0" applyNumberFormat="1" applyBorder="1"/>
    <xf numFmtId="170" fontId="0" fillId="0" borderId="1" xfId="0" applyNumberFormat="1" applyBorder="1"/>
    <xf numFmtId="167" fontId="11" fillId="0" borderId="0" xfId="0" applyNumberFormat="1" applyFont="1" applyAlignment="1">
      <alignment horizontal="center"/>
    </xf>
    <xf numFmtId="167" fontId="11" fillId="0" borderId="1" xfId="0" applyNumberFormat="1" applyFont="1" applyBorder="1" applyAlignment="1">
      <alignment horizontal="center"/>
    </xf>
    <xf numFmtId="167" fontId="0" fillId="0" borderId="1" xfId="0" applyNumberFormat="1" applyBorder="1"/>
    <xf numFmtId="168" fontId="0" fillId="6" borderId="0" xfId="0" applyNumberFormat="1" applyFill="1" applyAlignment="1">
      <alignment horizontal="center" vertical="center"/>
    </xf>
    <xf numFmtId="168" fontId="0" fillId="0" borderId="1" xfId="0" applyNumberFormat="1" applyBorder="1" applyAlignment="1">
      <alignment horizontal="center" vertical="center"/>
    </xf>
    <xf numFmtId="0" fontId="16" fillId="0" borderId="0" xfId="0" applyFont="1"/>
    <xf numFmtId="166" fontId="16" fillId="0" borderId="0" xfId="0" applyNumberFormat="1" applyFont="1" applyAlignment="1">
      <alignment vertical="center"/>
    </xf>
    <xf numFmtId="0" fontId="16" fillId="0" borderId="1" xfId="0" applyFont="1" applyBorder="1"/>
    <xf numFmtId="166" fontId="16" fillId="0" borderId="1" xfId="0" applyNumberFormat="1" applyFont="1" applyBorder="1" applyAlignment="1">
      <alignment vertical="center"/>
    </xf>
    <xf numFmtId="170" fontId="0" fillId="0" borderId="10" xfId="0" applyNumberFormat="1" applyBorder="1"/>
    <xf numFmtId="170" fontId="0" fillId="0" borderId="12" xfId="0" applyNumberFormat="1" applyBorder="1"/>
    <xf numFmtId="172" fontId="0" fillId="0" borderId="0" xfId="0" applyNumberFormat="1"/>
    <xf numFmtId="0" fontId="0" fillId="0" borderId="0" xfId="0" applyAlignment="1">
      <alignment horizontal="center" vertical="center" wrapText="1"/>
    </xf>
    <xf numFmtId="170" fontId="13" fillId="4" borderId="2" xfId="1" applyNumberFormat="1" applyFont="1" applyFill="1" applyBorder="1" applyAlignment="1">
      <alignment horizontal="center" vertical="center" wrapText="1"/>
    </xf>
    <xf numFmtId="170" fontId="0" fillId="4" borderId="2" xfId="0" applyNumberFormat="1" applyFill="1" applyBorder="1"/>
    <xf numFmtId="170" fontId="0" fillId="0" borderId="2" xfId="0" applyNumberFormat="1" applyBorder="1"/>
    <xf numFmtId="170" fontId="0" fillId="0" borderId="11" xfId="0" applyNumberFormat="1" applyBorder="1"/>
    <xf numFmtId="165" fontId="0" fillId="0" borderId="0" xfId="0" applyNumberFormat="1"/>
    <xf numFmtId="0" fontId="3" fillId="0" borderId="0" xfId="0" applyFont="1" applyAlignment="1">
      <alignment vertical="center"/>
    </xf>
    <xf numFmtId="0" fontId="3" fillId="7" borderId="0" xfId="0" applyFont="1" applyFill="1" applyAlignment="1">
      <alignment horizontal="center"/>
    </xf>
    <xf numFmtId="0" fontId="17" fillId="0" borderId="0" xfId="0" applyFont="1" applyAlignment="1">
      <alignment vertical="center"/>
    </xf>
    <xf numFmtId="9" fontId="3" fillId="7" borderId="0" xfId="0" applyNumberFormat="1" applyFont="1" applyFill="1" applyAlignment="1">
      <alignment horizontal="center"/>
    </xf>
    <xf numFmtId="14" fontId="3" fillId="7" borderId="0" xfId="0" applyNumberFormat="1" applyFont="1" applyFill="1" applyAlignment="1">
      <alignment horizontal="center"/>
    </xf>
    <xf numFmtId="173" fontId="3" fillId="6" borderId="0" xfId="0" applyNumberFormat="1" applyFont="1" applyFill="1" applyAlignment="1">
      <alignment horizontal="center"/>
    </xf>
    <xf numFmtId="0" fontId="14" fillId="0" borderId="0" xfId="0" applyFont="1" applyAlignment="1">
      <alignment vertical="center"/>
    </xf>
    <xf numFmtId="167" fontId="3" fillId="7" borderId="0" xfId="0" applyNumberFormat="1" applyFont="1" applyFill="1" applyAlignment="1">
      <alignment horizontal="center"/>
    </xf>
    <xf numFmtId="0" fontId="3" fillId="0" borderId="0" xfId="0" applyFont="1"/>
    <xf numFmtId="171" fontId="3" fillId="0" borderId="0" xfId="0" applyNumberFormat="1" applyFont="1"/>
    <xf numFmtId="169" fontId="9" fillId="13" borderId="13" xfId="0" applyNumberFormat="1" applyFont="1" applyFill="1" applyBorder="1" applyAlignment="1">
      <alignment horizontal="center" vertical="center" wrapText="1"/>
    </xf>
    <xf numFmtId="165" fontId="3" fillId="0" borderId="0" xfId="0" applyNumberFormat="1" applyFont="1"/>
    <xf numFmtId="165" fontId="3" fillId="0" borderId="2" xfId="0" applyNumberFormat="1" applyFont="1" applyBorder="1"/>
    <xf numFmtId="171" fontId="3" fillId="0" borderId="10" xfId="0" applyNumberFormat="1" applyFont="1" applyBorder="1"/>
    <xf numFmtId="9" fontId="3" fillId="0" borderId="0" xfId="0" applyNumberFormat="1" applyFont="1"/>
    <xf numFmtId="9" fontId="3" fillId="7" borderId="0" xfId="0" applyNumberFormat="1" applyFont="1" applyFill="1"/>
    <xf numFmtId="169" fontId="9" fillId="13" borderId="15" xfId="0" applyNumberFormat="1" applyFont="1" applyFill="1" applyBorder="1" applyAlignment="1">
      <alignment horizontal="center" vertical="center" wrapText="1"/>
    </xf>
    <xf numFmtId="166" fontId="18" fillId="0" borderId="0" xfId="0" applyNumberFormat="1" applyFont="1" applyAlignment="1">
      <alignment horizontal="center"/>
    </xf>
    <xf numFmtId="165" fontId="3" fillId="0" borderId="1" xfId="0" applyNumberFormat="1" applyFont="1" applyBorder="1"/>
    <xf numFmtId="165" fontId="9" fillId="16" borderId="14" xfId="0" applyNumberFormat="1" applyFont="1" applyFill="1" applyBorder="1"/>
    <xf numFmtId="0" fontId="9" fillId="8" borderId="13" xfId="0" applyFont="1" applyFill="1" applyBorder="1" applyAlignment="1">
      <alignment horizontal="center" vertical="center" wrapText="1"/>
    </xf>
    <xf numFmtId="0" fontId="3" fillId="7" borderId="0" xfId="0" applyFont="1" applyFill="1" applyAlignment="1">
      <alignment vertical="center"/>
    </xf>
    <xf numFmtId="167" fontId="3" fillId="0" borderId="2" xfId="0" applyNumberFormat="1" applyFont="1" applyBorder="1"/>
    <xf numFmtId="167" fontId="3" fillId="0" borderId="11" xfId="0" applyNumberFormat="1" applyFont="1" applyBorder="1"/>
    <xf numFmtId="167" fontId="9" fillId="16" borderId="17" xfId="0" applyNumberFormat="1" applyFont="1" applyFill="1" applyBorder="1"/>
    <xf numFmtId="165" fontId="3" fillId="0" borderId="11" xfId="0" applyNumberFormat="1" applyFont="1" applyBorder="1"/>
    <xf numFmtId="165" fontId="9" fillId="16" borderId="17" xfId="0" applyNumberFormat="1" applyFont="1" applyFill="1" applyBorder="1"/>
    <xf numFmtId="171" fontId="9" fillId="13" borderId="16" xfId="0" applyNumberFormat="1" applyFont="1" applyFill="1" applyBorder="1" applyAlignment="1">
      <alignment horizontal="center" vertical="center" wrapText="1"/>
    </xf>
    <xf numFmtId="171" fontId="3" fillId="0" borderId="12" xfId="0" applyNumberFormat="1" applyFont="1" applyBorder="1"/>
    <xf numFmtId="171" fontId="9" fillId="16" borderId="18" xfId="0" applyNumberFormat="1" applyFont="1" applyFill="1" applyBorder="1"/>
    <xf numFmtId="171" fontId="9" fillId="13" borderId="15" xfId="0" applyNumberFormat="1" applyFont="1" applyFill="1" applyBorder="1" applyAlignment="1">
      <alignment horizontal="center" vertical="center" wrapText="1"/>
    </xf>
    <xf numFmtId="171" fontId="3" fillId="0" borderId="2" xfId="0" applyNumberFormat="1" applyFont="1" applyBorder="1"/>
    <xf numFmtId="171" fontId="3" fillId="0" borderId="11" xfId="0" applyNumberFormat="1" applyFont="1" applyBorder="1"/>
    <xf numFmtId="171" fontId="9" fillId="16" borderId="17" xfId="0" applyNumberFormat="1" applyFont="1" applyFill="1" applyBorder="1"/>
    <xf numFmtId="168" fontId="16" fillId="16" borderId="21" xfId="0" applyNumberFormat="1" applyFont="1" applyFill="1" applyBorder="1" applyAlignment="1">
      <alignment horizontal="center" vertical="center"/>
    </xf>
    <xf numFmtId="168" fontId="0" fillId="16" borderId="22" xfId="0" applyNumberFormat="1" applyFill="1" applyBorder="1" applyAlignment="1">
      <alignment horizontal="center" vertical="center"/>
    </xf>
    <xf numFmtId="0" fontId="0" fillId="16" borderId="22" xfId="0" applyFill="1" applyBorder="1"/>
    <xf numFmtId="166" fontId="0" fillId="16" borderId="22" xfId="0" applyNumberFormat="1" applyFill="1" applyBorder="1" applyAlignment="1">
      <alignment vertical="center"/>
    </xf>
    <xf numFmtId="166" fontId="0" fillId="16" borderId="22" xfId="0" applyNumberFormat="1" applyFill="1" applyBorder="1" applyAlignment="1">
      <alignment horizontal="center"/>
    </xf>
    <xf numFmtId="171" fontId="0" fillId="16" borderId="22" xfId="0" applyNumberFormat="1" applyFill="1" applyBorder="1"/>
    <xf numFmtId="167" fontId="0" fillId="16" borderId="21" xfId="0" applyNumberFormat="1" applyFill="1" applyBorder="1" applyAlignment="1">
      <alignment horizontal="center"/>
    </xf>
    <xf numFmtId="167" fontId="11" fillId="16" borderId="22" xfId="0" applyNumberFormat="1" applyFont="1" applyFill="1" applyBorder="1" applyAlignment="1">
      <alignment horizontal="center"/>
    </xf>
    <xf numFmtId="167" fontId="0" fillId="16" borderId="22" xfId="0" applyNumberFormat="1" applyFill="1" applyBorder="1" applyAlignment="1">
      <alignment horizontal="center"/>
    </xf>
    <xf numFmtId="170" fontId="0" fillId="16" borderId="23" xfId="0" applyNumberFormat="1" applyFill="1" applyBorder="1"/>
    <xf numFmtId="169" fontId="0" fillId="16" borderId="22" xfId="0" applyNumberFormat="1" applyFill="1" applyBorder="1"/>
    <xf numFmtId="167" fontId="0" fillId="16" borderId="22" xfId="0" applyNumberFormat="1" applyFill="1" applyBorder="1"/>
    <xf numFmtId="170" fontId="0" fillId="16" borderId="21" xfId="0" applyNumberFormat="1" applyFill="1" applyBorder="1"/>
    <xf numFmtId="170" fontId="0" fillId="16" borderId="22" xfId="0" applyNumberFormat="1" applyFill="1" applyBorder="1"/>
    <xf numFmtId="167" fontId="0" fillId="16" borderId="22" xfId="0" applyNumberFormat="1" applyFill="1" applyBorder="1" applyAlignment="1">
      <alignment vertical="center"/>
    </xf>
    <xf numFmtId="166" fontId="0" fillId="18" borderId="22" xfId="0" applyNumberFormat="1" applyFill="1" applyBorder="1" applyAlignment="1">
      <alignment horizontal="center"/>
    </xf>
    <xf numFmtId="166" fontId="19" fillId="14" borderId="0" xfId="0" applyNumberFormat="1" applyFont="1" applyFill="1" applyAlignment="1">
      <alignment horizontal="center"/>
    </xf>
    <xf numFmtId="166" fontId="19" fillId="14" borderId="1" xfId="0" applyNumberFormat="1" applyFont="1" applyFill="1" applyBorder="1" applyAlignment="1">
      <alignment horizontal="center"/>
    </xf>
    <xf numFmtId="167" fontId="11" fillId="0" borderId="0" xfId="0" applyNumberFormat="1" applyFont="1"/>
    <xf numFmtId="167" fontId="14" fillId="4" borderId="0" xfId="1" applyNumberFormat="1" applyFont="1" applyFill="1" applyAlignment="1">
      <alignment horizontal="center" vertical="center" wrapText="1"/>
    </xf>
    <xf numFmtId="167" fontId="11" fillId="4" borderId="0" xfId="0" applyNumberFormat="1" applyFont="1" applyFill="1"/>
    <xf numFmtId="167" fontId="11" fillId="7" borderId="0" xfId="0" applyNumberFormat="1" applyFont="1" applyFill="1"/>
    <xf numFmtId="167" fontId="11" fillId="7" borderId="1" xfId="0" applyNumberFormat="1" applyFont="1" applyFill="1" applyBorder="1"/>
    <xf numFmtId="167" fontId="11" fillId="6" borderId="0" xfId="0" applyNumberFormat="1" applyFont="1" applyFill="1"/>
    <xf numFmtId="167" fontId="16" fillId="6" borderId="0" xfId="0" applyNumberFormat="1" applyFont="1" applyFill="1"/>
    <xf numFmtId="167" fontId="16" fillId="0" borderId="0" xfId="0" applyNumberFormat="1" applyFont="1"/>
    <xf numFmtId="167" fontId="16" fillId="0" borderId="1" xfId="0" applyNumberFormat="1" applyFont="1" applyBorder="1"/>
    <xf numFmtId="166" fontId="19" fillId="0" borderId="0" xfId="0" applyNumberFormat="1" applyFont="1" applyAlignment="1">
      <alignment horizontal="center"/>
    </xf>
    <xf numFmtId="166" fontId="19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/>
    <xf numFmtId="165" fontId="2" fillId="0" borderId="0" xfId="0" applyNumberFormat="1" applyFont="1"/>
    <xf numFmtId="171" fontId="2" fillId="0" borderId="0" xfId="0" applyNumberFormat="1" applyFont="1"/>
    <xf numFmtId="174" fontId="2" fillId="0" borderId="0" xfId="0" applyNumberFormat="1" applyFont="1"/>
    <xf numFmtId="165" fontId="2" fillId="0" borderId="9" xfId="0" applyNumberFormat="1" applyFont="1" applyBorder="1"/>
    <xf numFmtId="165" fontId="2" fillId="0" borderId="1" xfId="0" applyNumberFormat="1" applyFont="1" applyBorder="1"/>
    <xf numFmtId="171" fontId="2" fillId="0" borderId="1" xfId="0" applyNumberFormat="1" applyFont="1" applyBorder="1"/>
    <xf numFmtId="174" fontId="2" fillId="0" borderId="1" xfId="0" applyNumberFormat="1" applyFont="1" applyBorder="1"/>
    <xf numFmtId="165" fontId="2" fillId="0" borderId="20" xfId="0" applyNumberFormat="1" applyFont="1" applyBorder="1"/>
    <xf numFmtId="165" fontId="2" fillId="16" borderId="0" xfId="0" applyNumberFormat="1" applyFont="1" applyFill="1"/>
    <xf numFmtId="174" fontId="2" fillId="16" borderId="0" xfId="0" applyNumberFormat="1" applyFont="1" applyFill="1"/>
    <xf numFmtId="165" fontId="2" fillId="16" borderId="9" xfId="0" applyNumberFormat="1" applyFont="1" applyFill="1" applyBorder="1"/>
    <xf numFmtId="0" fontId="2" fillId="16" borderId="0" xfId="0" applyFont="1" applyFill="1"/>
    <xf numFmtId="171" fontId="20" fillId="16" borderId="0" xfId="0" applyNumberFormat="1" applyFont="1" applyFill="1"/>
    <xf numFmtId="0" fontId="2" fillId="0" borderId="0" xfId="0" applyFont="1" applyAlignment="1">
      <alignment horizontal="left" indent="1"/>
    </xf>
    <xf numFmtId="0" fontId="2" fillId="0" borderId="1" xfId="0" applyFont="1" applyBorder="1" applyAlignment="1">
      <alignment horizontal="left" indent="1"/>
    </xf>
    <xf numFmtId="167" fontId="19" fillId="14" borderId="0" xfId="0" applyNumberFormat="1" applyFont="1" applyFill="1"/>
    <xf numFmtId="167" fontId="3" fillId="7" borderId="0" xfId="0" applyNumberFormat="1" applyFont="1" applyFill="1"/>
    <xf numFmtId="0" fontId="9" fillId="12" borderId="2" xfId="0" quotePrefix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9" fillId="11" borderId="2" xfId="0" quotePrefix="1" applyFont="1" applyFill="1" applyBorder="1" applyAlignment="1">
      <alignment horizontal="center" vertical="center" wrapText="1"/>
    </xf>
    <xf numFmtId="0" fontId="9" fillId="11" borderId="0" xfId="0" quotePrefix="1" applyFont="1" applyFill="1" applyAlignment="1">
      <alignment horizontal="center" vertical="center" wrapText="1"/>
    </xf>
    <xf numFmtId="0" fontId="9" fillId="17" borderId="2" xfId="0" applyFont="1" applyFill="1" applyBorder="1" applyAlignment="1">
      <alignment horizontal="center" vertical="center" wrapText="1"/>
    </xf>
    <xf numFmtId="0" fontId="15" fillId="17" borderId="15" xfId="0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173" fontId="21" fillId="0" borderId="0" xfId="0" applyNumberFormat="1" applyFont="1" applyAlignment="1">
      <alignment horizontal="right" vertical="center"/>
    </xf>
    <xf numFmtId="0" fontId="23" fillId="4" borderId="0" xfId="0" applyFont="1" applyFill="1" applyAlignment="1">
      <alignment vertical="center"/>
    </xf>
    <xf numFmtId="0" fontId="21" fillId="4" borderId="0" xfId="0" applyFont="1" applyFill="1" applyAlignment="1">
      <alignment vertical="center"/>
    </xf>
    <xf numFmtId="173" fontId="21" fillId="4" borderId="0" xfId="0" applyNumberFormat="1" applyFont="1" applyFill="1" applyAlignment="1">
      <alignment horizontal="right" vertical="center"/>
    </xf>
    <xf numFmtId="173" fontId="23" fillId="15" borderId="12" xfId="0" applyNumberFormat="1" applyFont="1" applyFill="1" applyBorder="1" applyAlignment="1">
      <alignment horizontal="right" vertical="center"/>
    </xf>
    <xf numFmtId="173" fontId="23" fillId="15" borderId="1" xfId="0" applyNumberFormat="1" applyFont="1" applyFill="1" applyBorder="1" applyAlignment="1">
      <alignment horizontal="right" vertical="center"/>
    </xf>
    <xf numFmtId="173" fontId="23" fillId="15" borderId="11" xfId="0" applyNumberFormat="1" applyFont="1" applyFill="1" applyBorder="1" applyAlignment="1">
      <alignment horizontal="right" vertical="center"/>
    </xf>
    <xf numFmtId="0" fontId="23" fillId="16" borderId="0" xfId="0" applyFont="1" applyFill="1" applyAlignment="1">
      <alignment vertical="center"/>
    </xf>
    <xf numFmtId="173" fontId="23" fillId="16" borderId="0" xfId="0" applyNumberFormat="1" applyFont="1" applyFill="1" applyAlignment="1">
      <alignment horizontal="right" vertical="center"/>
    </xf>
    <xf numFmtId="0" fontId="23" fillId="0" borderId="0" xfId="0" applyFont="1" applyAlignment="1">
      <alignment vertical="center"/>
    </xf>
    <xf numFmtId="0" fontId="23" fillId="15" borderId="1" xfId="0" applyFont="1" applyFill="1" applyBorder="1" applyAlignment="1">
      <alignment vertical="center"/>
    </xf>
    <xf numFmtId="0" fontId="21" fillId="0" borderId="0" xfId="0" pivotButton="1" applyFont="1" applyAlignment="1">
      <alignment vertical="center"/>
    </xf>
    <xf numFmtId="173" fontId="21" fillId="0" borderId="0" xfId="0" pivotButton="1" applyNumberFormat="1" applyFont="1" applyAlignment="1">
      <alignment horizontal="right" vertical="center"/>
    </xf>
    <xf numFmtId="0" fontId="23" fillId="4" borderId="0" xfId="0" applyFont="1" applyFill="1" applyAlignment="1">
      <alignment vertical="center" readingOrder="1"/>
    </xf>
    <xf numFmtId="0" fontId="21" fillId="4" borderId="0" xfId="0" applyFont="1" applyFill="1" applyAlignment="1">
      <alignment horizontal="center" vertical="center" readingOrder="1"/>
    </xf>
    <xf numFmtId="173" fontId="21" fillId="0" borderId="10" xfId="0" applyNumberFormat="1" applyFont="1" applyBorder="1" applyAlignment="1">
      <alignment horizontal="right" vertical="center"/>
    </xf>
    <xf numFmtId="173" fontId="23" fillId="0" borderId="2" xfId="0" applyNumberFormat="1" applyFont="1" applyBorder="1" applyAlignment="1">
      <alignment horizontal="right" vertical="center"/>
    </xf>
    <xf numFmtId="173" fontId="21" fillId="0" borderId="0" xfId="0" applyNumberFormat="1" applyFont="1" applyAlignment="1">
      <alignment horizontal="center" vertical="center"/>
    </xf>
    <xf numFmtId="173" fontId="21" fillId="0" borderId="0" xfId="0" applyNumberFormat="1" applyFont="1" applyAlignment="1">
      <alignment vertical="center"/>
    </xf>
    <xf numFmtId="164" fontId="21" fillId="0" borderId="0" xfId="0" applyNumberFormat="1" applyFont="1" applyAlignment="1">
      <alignment horizontal="center" vertical="center"/>
    </xf>
    <xf numFmtId="0" fontId="23" fillId="0" borderId="0" xfId="0" pivotButton="1" applyFont="1" applyAlignment="1">
      <alignment vertical="center"/>
    </xf>
    <xf numFmtId="173" fontId="23" fillId="0" borderId="10" xfId="0" applyNumberFormat="1" applyFont="1" applyBorder="1" applyAlignment="1">
      <alignment horizontal="right" vertical="center"/>
    </xf>
    <xf numFmtId="173" fontId="23" fillId="0" borderId="0" xfId="0" applyNumberFormat="1" applyFont="1" applyAlignment="1">
      <alignment horizontal="right" vertical="center"/>
    </xf>
    <xf numFmtId="175" fontId="23" fillId="0" borderId="0" xfId="0" applyNumberFormat="1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167" fontId="21" fillId="0" borderId="10" xfId="0" applyNumberFormat="1" applyFont="1" applyBorder="1" applyAlignment="1">
      <alignment horizontal="right" vertical="center"/>
    </xf>
    <xf numFmtId="167" fontId="21" fillId="0" borderId="0" xfId="0" applyNumberFormat="1" applyFont="1" applyAlignment="1">
      <alignment horizontal="right" vertical="center"/>
    </xf>
    <xf numFmtId="175" fontId="21" fillId="0" borderId="0" xfId="0" applyNumberFormat="1" applyFont="1" applyAlignment="1">
      <alignment horizontal="right" vertical="center"/>
    </xf>
    <xf numFmtId="167" fontId="21" fillId="0" borderId="2" xfId="0" applyNumberFormat="1" applyFont="1" applyBorder="1" applyAlignment="1">
      <alignment horizontal="right" vertical="center"/>
    </xf>
    <xf numFmtId="0" fontId="21" fillId="0" borderId="1" xfId="0" applyFont="1" applyBorder="1" applyAlignment="1">
      <alignment horizontal="left" vertical="center"/>
    </xf>
    <xf numFmtId="167" fontId="21" fillId="0" borderId="12" xfId="0" applyNumberFormat="1" applyFont="1" applyBorder="1" applyAlignment="1">
      <alignment horizontal="right" vertical="center"/>
    </xf>
    <xf numFmtId="167" fontId="21" fillId="0" borderId="1" xfId="0" applyNumberFormat="1" applyFont="1" applyBorder="1" applyAlignment="1">
      <alignment horizontal="right" vertical="center"/>
    </xf>
    <xf numFmtId="167" fontId="21" fillId="0" borderId="11" xfId="0" applyNumberFormat="1" applyFont="1" applyBorder="1" applyAlignment="1">
      <alignment horizontal="right" vertical="center"/>
    </xf>
    <xf numFmtId="0" fontId="21" fillId="0" borderId="0" xfId="0" applyFont="1" applyAlignment="1">
      <alignment horizontal="centerContinuous" vertical="center" wrapText="1"/>
    </xf>
    <xf numFmtId="0" fontId="21" fillId="4" borderId="8" xfId="0" applyFont="1" applyFill="1" applyBorder="1" applyAlignment="1">
      <alignment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19" xfId="0" applyFont="1" applyFill="1" applyBorder="1" applyAlignment="1">
      <alignment horizontal="center" vertical="center"/>
    </xf>
    <xf numFmtId="0" fontId="21" fillId="0" borderId="21" xfId="0" applyFont="1" applyBorder="1" applyAlignment="1">
      <alignment vertical="center"/>
    </xf>
    <xf numFmtId="9" fontId="21" fillId="7" borderId="22" xfId="0" applyNumberFormat="1" applyFont="1" applyFill="1" applyBorder="1" applyAlignment="1">
      <alignment horizontal="centerContinuous" vertical="center" wrapText="1"/>
    </xf>
    <xf numFmtId="9" fontId="21" fillId="7" borderId="23" xfId="0" applyNumberFormat="1" applyFont="1" applyFill="1" applyBorder="1" applyAlignment="1">
      <alignment horizontal="centerContinuous" vertical="center" wrapText="1"/>
    </xf>
    <xf numFmtId="0" fontId="23" fillId="16" borderId="7" xfId="0" applyFont="1" applyFill="1" applyBorder="1" applyAlignment="1">
      <alignment horizontal="left" vertical="center"/>
    </xf>
    <xf numFmtId="167" fontId="23" fillId="16" borderId="19" xfId="0" applyNumberFormat="1" applyFont="1" applyFill="1" applyBorder="1" applyAlignment="1">
      <alignment horizontal="right" vertical="center"/>
    </xf>
    <xf numFmtId="167" fontId="23" fillId="16" borderId="7" xfId="0" applyNumberFormat="1" applyFont="1" applyFill="1" applyBorder="1" applyAlignment="1">
      <alignment horizontal="right" vertical="center"/>
    </xf>
    <xf numFmtId="167" fontId="23" fillId="16" borderId="8" xfId="0" applyNumberFormat="1" applyFont="1" applyFill="1" applyBorder="1" applyAlignment="1">
      <alignment horizontal="right" vertical="center"/>
    </xf>
    <xf numFmtId="0" fontId="21" fillId="4" borderId="26" xfId="0" applyFont="1" applyFill="1" applyBorder="1" applyAlignment="1">
      <alignment horizontal="left" vertical="center" wrapText="1"/>
    </xf>
    <xf numFmtId="0" fontId="21" fillId="4" borderId="8" xfId="0" applyFont="1" applyFill="1" applyBorder="1" applyAlignment="1">
      <alignment horizontal="center" vertical="center" wrapText="1"/>
    </xf>
    <xf numFmtId="0" fontId="21" fillId="4" borderId="8" xfId="0" applyFont="1" applyFill="1" applyBorder="1" applyAlignment="1">
      <alignment horizontal="centerContinuous" vertical="center" wrapText="1"/>
    </xf>
    <xf numFmtId="0" fontId="21" fillId="4" borderId="7" xfId="0" applyFont="1" applyFill="1" applyBorder="1" applyAlignment="1">
      <alignment horizontal="centerContinuous" vertical="center" wrapText="1"/>
    </xf>
    <xf numFmtId="0" fontId="21" fillId="4" borderId="26" xfId="0" applyFont="1" applyFill="1" applyBorder="1" applyAlignment="1">
      <alignment horizontal="center" vertical="center" wrapText="1"/>
    </xf>
    <xf numFmtId="0" fontId="21" fillId="4" borderId="9" xfId="0" applyFont="1" applyFill="1" applyBorder="1" applyAlignment="1">
      <alignment horizontal="left" vertical="center" wrapText="1"/>
    </xf>
    <xf numFmtId="0" fontId="21" fillId="4" borderId="11" xfId="0" applyFont="1" applyFill="1" applyBorder="1" applyAlignment="1">
      <alignment horizontal="center" vertical="center" wrapText="1"/>
    </xf>
    <xf numFmtId="0" fontId="21" fillId="4" borderId="11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21" fillId="4" borderId="20" xfId="0" applyFont="1" applyFill="1" applyBorder="1" applyAlignment="1">
      <alignment horizontal="center" vertical="center" wrapText="1"/>
    </xf>
    <xf numFmtId="0" fontId="21" fillId="0" borderId="2" xfId="0" applyFont="1" applyBorder="1" applyAlignment="1">
      <alignment vertical="center"/>
    </xf>
    <xf numFmtId="0" fontId="21" fillId="0" borderId="9" xfId="0" applyFont="1" applyBorder="1" applyAlignment="1">
      <alignment vertical="center"/>
    </xf>
    <xf numFmtId="173" fontId="21" fillId="0" borderId="2" xfId="0" applyNumberFormat="1" applyFont="1" applyBorder="1" applyAlignment="1">
      <alignment horizontal="right" vertical="center"/>
    </xf>
    <xf numFmtId="0" fontId="21" fillId="0" borderId="0" xfId="0" applyFont="1" applyAlignment="1">
      <alignment horizontal="left" vertical="center" indent="1"/>
    </xf>
    <xf numFmtId="166" fontId="21" fillId="7" borderId="2" xfId="0" applyNumberFormat="1" applyFont="1" applyFill="1" applyBorder="1" applyAlignment="1">
      <alignment vertical="center"/>
    </xf>
    <xf numFmtId="166" fontId="21" fillId="0" borderId="0" xfId="0" applyNumberFormat="1" applyFont="1" applyAlignment="1">
      <alignment vertical="center"/>
    </xf>
    <xf numFmtId="171" fontId="21" fillId="0" borderId="9" xfId="0" applyNumberFormat="1" applyFont="1" applyBorder="1" applyAlignment="1">
      <alignment vertical="center"/>
    </xf>
    <xf numFmtId="0" fontId="21" fillId="0" borderId="1" xfId="0" applyFont="1" applyBorder="1" applyAlignment="1">
      <alignment horizontal="left" vertical="center" indent="1"/>
    </xf>
    <xf numFmtId="0" fontId="21" fillId="0" borderId="11" xfId="0" applyFont="1" applyBorder="1" applyAlignment="1">
      <alignment vertical="center"/>
    </xf>
    <xf numFmtId="166" fontId="21" fillId="7" borderId="11" xfId="0" applyNumberFormat="1" applyFont="1" applyFill="1" applyBorder="1" applyAlignment="1">
      <alignment vertical="center"/>
    </xf>
    <xf numFmtId="166" fontId="21" fillId="0" borderId="1" xfId="0" applyNumberFormat="1" applyFont="1" applyBorder="1" applyAlignment="1">
      <alignment vertical="center"/>
    </xf>
    <xf numFmtId="171" fontId="21" fillId="0" borderId="20" xfId="0" applyNumberFormat="1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21" fillId="0" borderId="12" xfId="0" applyFont="1" applyBorder="1" applyAlignment="1">
      <alignment vertical="center"/>
    </xf>
    <xf numFmtId="167" fontId="21" fillId="0" borderId="1" xfId="0" applyNumberFormat="1" applyFont="1" applyBorder="1" applyAlignment="1">
      <alignment vertical="center"/>
    </xf>
    <xf numFmtId="167" fontId="21" fillId="0" borderId="11" xfId="0" applyNumberFormat="1" applyFont="1" applyBorder="1" applyAlignment="1">
      <alignment vertical="center"/>
    </xf>
    <xf numFmtId="173" fontId="23" fillId="16" borderId="10" xfId="0" applyNumberFormat="1" applyFont="1" applyFill="1" applyBorder="1" applyAlignment="1">
      <alignment horizontal="right" vertical="center"/>
    </xf>
    <xf numFmtId="167" fontId="23" fillId="16" borderId="0" xfId="0" applyNumberFormat="1" applyFont="1" applyFill="1" applyAlignment="1">
      <alignment horizontal="right" vertical="center"/>
    </xf>
    <xf numFmtId="167" fontId="23" fillId="16" borderId="2" xfId="0" applyNumberFormat="1" applyFont="1" applyFill="1" applyBorder="1" applyAlignment="1">
      <alignment horizontal="right" vertical="center"/>
    </xf>
    <xf numFmtId="173" fontId="23" fillId="19" borderId="11" xfId="0" applyNumberFormat="1" applyFont="1" applyFill="1" applyBorder="1" applyAlignment="1">
      <alignment horizontal="centerContinuous" vertical="center" wrapText="1"/>
    </xf>
    <xf numFmtId="171" fontId="25" fillId="10" borderId="1" xfId="0" applyNumberFormat="1" applyFont="1" applyFill="1" applyBorder="1" applyAlignment="1">
      <alignment horizontal="centerContinuous" vertical="center" wrapText="1"/>
    </xf>
    <xf numFmtId="173" fontId="21" fillId="10" borderId="0" xfId="0" applyNumberFormat="1" applyFont="1" applyFill="1" applyAlignment="1">
      <alignment horizontal="right" vertical="center"/>
    </xf>
    <xf numFmtId="171" fontId="26" fillId="0" borderId="0" xfId="0" applyNumberFormat="1" applyFont="1" applyAlignment="1">
      <alignment horizontal="center" vertical="center"/>
    </xf>
    <xf numFmtId="173" fontId="21" fillId="10" borderId="2" xfId="0" applyNumberFormat="1" applyFont="1" applyFill="1" applyBorder="1" applyAlignment="1">
      <alignment vertical="center"/>
    </xf>
    <xf numFmtId="173" fontId="21" fillId="10" borderId="2" xfId="0" applyNumberFormat="1" applyFont="1" applyFill="1" applyBorder="1" applyAlignment="1">
      <alignment horizontal="right" vertical="center"/>
    </xf>
    <xf numFmtId="171" fontId="26" fillId="0" borderId="1" xfId="0" applyNumberFormat="1" applyFont="1" applyBorder="1" applyAlignment="1">
      <alignment horizontal="center" vertical="center"/>
    </xf>
    <xf numFmtId="167" fontId="21" fillId="10" borderId="2" xfId="0" applyNumberFormat="1" applyFont="1" applyFill="1" applyBorder="1" applyAlignment="1">
      <alignment horizontal="right" vertical="center"/>
    </xf>
    <xf numFmtId="171" fontId="26" fillId="10" borderId="7" xfId="0" applyNumberFormat="1" applyFont="1" applyFill="1" applyBorder="1" applyAlignment="1">
      <alignment horizontal="center" vertical="center"/>
    </xf>
    <xf numFmtId="0" fontId="21" fillId="10" borderId="0" xfId="0" applyFont="1" applyFill="1" applyAlignment="1">
      <alignment vertical="center"/>
    </xf>
    <xf numFmtId="171" fontId="26" fillId="10" borderId="0" xfId="0" applyNumberFormat="1" applyFont="1" applyFill="1" applyAlignment="1">
      <alignment horizontal="center" vertical="center"/>
    </xf>
    <xf numFmtId="173" fontId="21" fillId="10" borderId="10" xfId="0" applyNumberFormat="1" applyFont="1" applyFill="1" applyBorder="1" applyAlignment="1">
      <alignment horizontal="right" vertical="center"/>
    </xf>
    <xf numFmtId="0" fontId="21" fillId="10" borderId="0" xfId="0" applyFont="1" applyFill="1" applyAlignment="1">
      <alignment horizontal="left" vertical="center"/>
    </xf>
    <xf numFmtId="167" fontId="21" fillId="10" borderId="10" xfId="0" applyNumberFormat="1" applyFont="1" applyFill="1" applyBorder="1" applyAlignment="1">
      <alignment horizontal="right" vertical="center"/>
    </xf>
    <xf numFmtId="167" fontId="21" fillId="10" borderId="0" xfId="0" applyNumberFormat="1" applyFont="1" applyFill="1" applyAlignment="1">
      <alignment horizontal="right" vertical="center"/>
    </xf>
    <xf numFmtId="0" fontId="21" fillId="10" borderId="8" xfId="0" applyFont="1" applyFill="1" applyBorder="1" applyAlignment="1">
      <alignment horizontal="center" vertical="center" wrapText="1"/>
    </xf>
    <xf numFmtId="0" fontId="23" fillId="10" borderId="26" xfId="0" applyFont="1" applyFill="1" applyBorder="1" applyAlignment="1">
      <alignment horizontal="center" vertical="center" wrapText="1"/>
    </xf>
    <xf numFmtId="0" fontId="23" fillId="10" borderId="21" xfId="0" applyFont="1" applyFill="1" applyBorder="1" applyAlignment="1">
      <alignment horizontal="centerContinuous" vertical="center" wrapText="1"/>
    </xf>
    <xf numFmtId="0" fontId="21" fillId="10" borderId="22" xfId="0" applyFont="1" applyFill="1" applyBorder="1" applyAlignment="1">
      <alignment horizontal="centerContinuous" vertical="center" wrapText="1"/>
    </xf>
    <xf numFmtId="0" fontId="21" fillId="10" borderId="19" xfId="0" applyFont="1" applyFill="1" applyBorder="1" applyAlignment="1">
      <alignment horizontal="centerContinuous" vertical="center" wrapText="1"/>
    </xf>
    <xf numFmtId="0" fontId="21" fillId="10" borderId="7" xfId="0" applyFont="1" applyFill="1" applyBorder="1" applyAlignment="1">
      <alignment horizontal="centerContinuous" vertical="center" wrapText="1"/>
    </xf>
    <xf numFmtId="0" fontId="23" fillId="10" borderId="8" xfId="0" applyFont="1" applyFill="1" applyBorder="1" applyAlignment="1">
      <alignment horizontal="center" vertical="center" wrapText="1"/>
    </xf>
    <xf numFmtId="0" fontId="23" fillId="10" borderId="19" xfId="0" applyFont="1" applyFill="1" applyBorder="1" applyAlignment="1">
      <alignment horizontal="center" vertical="center" wrapText="1"/>
    </xf>
    <xf numFmtId="0" fontId="21" fillId="10" borderId="2" xfId="0" applyFont="1" applyFill="1" applyBorder="1" applyAlignment="1">
      <alignment horizontal="center" vertical="center" wrapText="1"/>
    </xf>
    <xf numFmtId="0" fontId="23" fillId="10" borderId="9" xfId="0" applyFont="1" applyFill="1" applyBorder="1" applyAlignment="1">
      <alignment horizontal="center" vertical="center" wrapText="1"/>
    </xf>
    <xf numFmtId="173" fontId="21" fillId="10" borderId="21" xfId="0" applyNumberFormat="1" applyFont="1" applyFill="1" applyBorder="1" applyAlignment="1">
      <alignment horizontal="centerContinuous" vertical="center" wrapText="1"/>
    </xf>
    <xf numFmtId="173" fontId="21" fillId="10" borderId="22" xfId="0" applyNumberFormat="1" applyFont="1" applyFill="1" applyBorder="1" applyAlignment="1">
      <alignment horizontal="centerContinuous" vertical="center" wrapText="1"/>
    </xf>
    <xf numFmtId="173" fontId="21" fillId="10" borderId="23" xfId="0" applyNumberFormat="1" applyFont="1" applyFill="1" applyBorder="1" applyAlignment="1">
      <alignment horizontal="centerContinuous" vertical="center" wrapText="1"/>
    </xf>
    <xf numFmtId="173" fontId="21" fillId="10" borderId="25" xfId="0" applyNumberFormat="1" applyFont="1" applyFill="1" applyBorder="1" applyAlignment="1">
      <alignment horizontal="centerContinuous" vertical="center" wrapText="1"/>
    </xf>
    <xf numFmtId="0" fontId="23" fillId="10" borderId="2" xfId="0" applyFont="1" applyFill="1" applyBorder="1" applyAlignment="1">
      <alignment horizontal="center" vertical="center" wrapText="1"/>
    </xf>
    <xf numFmtId="0" fontId="23" fillId="10" borderId="10" xfId="0" applyFont="1" applyFill="1" applyBorder="1" applyAlignment="1">
      <alignment horizontal="center" vertical="center" wrapText="1"/>
    </xf>
    <xf numFmtId="173" fontId="21" fillId="19" borderId="2" xfId="0" applyNumberFormat="1" applyFont="1" applyFill="1" applyBorder="1" applyAlignment="1">
      <alignment horizontal="centerContinuous" vertical="center" wrapText="1"/>
    </xf>
    <xf numFmtId="173" fontId="21" fillId="19" borderId="10" xfId="0" applyNumberFormat="1" applyFont="1" applyFill="1" applyBorder="1" applyAlignment="1">
      <alignment horizontal="centerContinuous" vertical="center" wrapText="1"/>
    </xf>
    <xf numFmtId="173" fontId="21" fillId="19" borderId="0" xfId="0" applyNumberFormat="1" applyFont="1" applyFill="1" applyAlignment="1">
      <alignment horizontal="centerContinuous" vertical="center" wrapText="1"/>
    </xf>
    <xf numFmtId="173" fontId="21" fillId="19" borderId="8" xfId="0" applyNumberFormat="1" applyFont="1" applyFill="1" applyBorder="1" applyAlignment="1">
      <alignment horizontal="center" vertical="center"/>
    </xf>
    <xf numFmtId="173" fontId="21" fillId="19" borderId="19" xfId="0" applyNumberFormat="1" applyFont="1" applyFill="1" applyBorder="1" applyAlignment="1">
      <alignment horizontal="center" vertical="center"/>
    </xf>
    <xf numFmtId="173" fontId="21" fillId="19" borderId="2" xfId="0" applyNumberFormat="1" applyFont="1" applyFill="1" applyBorder="1" applyAlignment="1">
      <alignment horizontal="center" vertical="center" wrapText="1"/>
    </xf>
    <xf numFmtId="0" fontId="21" fillId="10" borderId="11" xfId="0" applyFont="1" applyFill="1" applyBorder="1" applyAlignment="1">
      <alignment horizontal="center" vertical="center" wrapText="1"/>
    </xf>
    <xf numFmtId="173" fontId="21" fillId="19" borderId="20" xfId="0" applyNumberFormat="1" applyFont="1" applyFill="1" applyBorder="1" applyAlignment="1">
      <alignment horizontal="center" vertical="center"/>
    </xf>
    <xf numFmtId="173" fontId="21" fillId="19" borderId="11" xfId="0" applyNumberFormat="1" applyFont="1" applyFill="1" applyBorder="1" applyAlignment="1">
      <alignment horizontal="center" vertical="center"/>
    </xf>
    <xf numFmtId="173" fontId="21" fillId="19" borderId="12" xfId="0" applyNumberFormat="1" applyFont="1" applyFill="1" applyBorder="1" applyAlignment="1">
      <alignment horizontal="center" vertical="center"/>
    </xf>
    <xf numFmtId="173" fontId="21" fillId="19" borderId="1" xfId="0" applyNumberFormat="1" applyFont="1" applyFill="1" applyBorder="1" applyAlignment="1">
      <alignment horizontal="center" vertical="center"/>
    </xf>
    <xf numFmtId="0" fontId="21" fillId="4" borderId="2" xfId="0" applyFont="1" applyFill="1" applyBorder="1" applyAlignment="1">
      <alignment vertical="center"/>
    </xf>
    <xf numFmtId="173" fontId="21" fillId="4" borderId="9" xfId="0" applyNumberFormat="1" applyFont="1" applyFill="1" applyBorder="1" applyAlignment="1">
      <alignment horizontal="right" vertical="center"/>
    </xf>
    <xf numFmtId="173" fontId="21" fillId="4" borderId="2" xfId="0" applyNumberFormat="1" applyFont="1" applyFill="1" applyBorder="1" applyAlignment="1">
      <alignment horizontal="right" vertical="center"/>
    </xf>
    <xf numFmtId="173" fontId="21" fillId="4" borderId="10" xfId="0" applyNumberFormat="1" applyFont="1" applyFill="1" applyBorder="1" applyAlignment="1">
      <alignment horizontal="right" vertical="center"/>
    </xf>
    <xf numFmtId="0" fontId="21" fillId="0" borderId="10" xfId="0" applyFont="1" applyBorder="1" applyAlignment="1">
      <alignment vertical="center"/>
    </xf>
    <xf numFmtId="0" fontId="21" fillId="0" borderId="2" xfId="0" applyFont="1" applyBorder="1" applyAlignment="1">
      <alignment horizontal="left" vertical="center"/>
    </xf>
    <xf numFmtId="167" fontId="21" fillId="0" borderId="9" xfId="0" applyNumberFormat="1" applyFont="1" applyBorder="1" applyAlignment="1">
      <alignment horizontal="right" vertical="center"/>
    </xf>
    <xf numFmtId="171" fontId="26" fillId="0" borderId="10" xfId="0" applyNumberFormat="1" applyFont="1" applyBorder="1" applyAlignment="1">
      <alignment horizontal="center" vertical="center"/>
    </xf>
    <xf numFmtId="167" fontId="21" fillId="0" borderId="2" xfId="0" applyNumberFormat="1" applyFont="1" applyBorder="1" applyAlignment="1">
      <alignment vertical="center"/>
    </xf>
    <xf numFmtId="167" fontId="21" fillId="0" borderId="10" xfId="0" applyNumberFormat="1" applyFont="1" applyBorder="1" applyAlignment="1">
      <alignment vertical="center"/>
    </xf>
    <xf numFmtId="167" fontId="21" fillId="0" borderId="0" xfId="0" applyNumberFormat="1" applyFont="1" applyAlignment="1">
      <alignment vertical="center"/>
    </xf>
    <xf numFmtId="0" fontId="21" fillId="0" borderId="27" xfId="0" applyFont="1" applyBorder="1" applyAlignment="1">
      <alignment horizontal="left" vertical="center"/>
    </xf>
    <xf numFmtId="167" fontId="21" fillId="0" borderId="29" xfId="0" applyNumberFormat="1" applyFont="1" applyBorder="1" applyAlignment="1">
      <alignment horizontal="right" vertical="center"/>
    </xf>
    <xf numFmtId="167" fontId="21" fillId="0" borderId="27" xfId="0" applyNumberFormat="1" applyFont="1" applyBorder="1" applyAlignment="1">
      <alignment horizontal="right" vertical="center"/>
    </xf>
    <xf numFmtId="171" fontId="26" fillId="0" borderId="12" xfId="0" applyNumberFormat="1" applyFont="1" applyBorder="1" applyAlignment="1">
      <alignment horizontal="center" vertical="center"/>
    </xf>
    <xf numFmtId="167" fontId="21" fillId="0" borderId="24" xfId="0" applyNumberFormat="1" applyFont="1" applyBorder="1" applyAlignment="1">
      <alignment horizontal="right" vertical="center"/>
    </xf>
    <xf numFmtId="167" fontId="21" fillId="0" borderId="28" xfId="0" applyNumberFormat="1" applyFont="1" applyBorder="1" applyAlignment="1">
      <alignment horizontal="right" vertical="center"/>
    </xf>
    <xf numFmtId="9" fontId="21" fillId="0" borderId="0" xfId="0" applyNumberFormat="1" applyFont="1" applyAlignment="1">
      <alignment vertical="center"/>
    </xf>
    <xf numFmtId="171" fontId="21" fillId="0" borderId="0" xfId="0" applyNumberFormat="1" applyFont="1" applyAlignment="1">
      <alignment vertical="center"/>
    </xf>
    <xf numFmtId="0" fontId="23" fillId="16" borderId="21" xfId="0" applyFont="1" applyFill="1" applyBorder="1" applyAlignment="1">
      <alignment horizontal="left" vertical="center"/>
    </xf>
    <xf numFmtId="167" fontId="23" fillId="16" borderId="25" xfId="0" applyNumberFormat="1" applyFont="1" applyFill="1" applyBorder="1" applyAlignment="1">
      <alignment horizontal="right" vertical="center"/>
    </xf>
    <xf numFmtId="167" fontId="23" fillId="16" borderId="21" xfId="0" applyNumberFormat="1" applyFont="1" applyFill="1" applyBorder="1" applyAlignment="1">
      <alignment horizontal="right" vertical="center"/>
    </xf>
    <xf numFmtId="171" fontId="26" fillId="16" borderId="23" xfId="0" applyNumberFormat="1" applyFont="1" applyFill="1" applyBorder="1" applyAlignment="1">
      <alignment horizontal="center" vertical="center"/>
    </xf>
    <xf numFmtId="167" fontId="23" fillId="16" borderId="22" xfId="0" applyNumberFormat="1" applyFont="1" applyFill="1" applyBorder="1" applyAlignment="1">
      <alignment horizontal="right" vertical="center"/>
    </xf>
    <xf numFmtId="171" fontId="26" fillId="16" borderId="22" xfId="0" applyNumberFormat="1" applyFont="1" applyFill="1" applyBorder="1" applyAlignment="1">
      <alignment horizontal="center" vertical="center"/>
    </xf>
    <xf numFmtId="167" fontId="23" fillId="16" borderId="23" xfId="0" applyNumberFormat="1" applyFont="1" applyFill="1" applyBorder="1" applyAlignment="1">
      <alignment horizontal="right" vertical="center"/>
    </xf>
    <xf numFmtId="171" fontId="21" fillId="7" borderId="0" xfId="0" applyNumberFormat="1" applyFont="1" applyFill="1" applyAlignment="1">
      <alignment horizontal="right" vertical="center"/>
    </xf>
    <xf numFmtId="171" fontId="21" fillId="0" borderId="0" xfId="0" applyNumberFormat="1" applyFont="1" applyAlignment="1">
      <alignment horizontal="right" vertical="center"/>
    </xf>
  </cellXfs>
  <cellStyles count="2">
    <cellStyle name="Normal" xfId="0" builtinId="0"/>
    <cellStyle name="Normal_Sheet2" xfId="1" xr:uid="{C94C81B6-91A8-4E7D-B6AC-B1F1127BFDF3}"/>
  </cellStyles>
  <dxfs count="395">
    <dxf>
      <font>
        <color rgb="FF1F3F5F"/>
      </font>
    </dxf>
    <dxf>
      <font>
        <color rgb="FF1F3F5F"/>
      </font>
    </dxf>
    <dxf>
      <font>
        <color rgb="FF1F3F5F"/>
      </font>
    </dxf>
    <dxf>
      <font>
        <color rgb="FF1F3F5F"/>
      </font>
    </dxf>
    <dxf>
      <font>
        <color rgb="FF1F3F5F"/>
      </font>
    </dxf>
    <dxf>
      <font>
        <color rgb="FF1F3F5F"/>
      </font>
    </dxf>
    <dxf>
      <font>
        <color rgb="FF1F3F5F"/>
      </font>
    </dxf>
    <dxf>
      <font>
        <color rgb="FF1F3F5F"/>
      </font>
    </dxf>
    <dxf>
      <font>
        <color rgb="FF1F3F5F"/>
      </font>
    </dxf>
    <dxf>
      <font>
        <color rgb="FF1F3F5F"/>
      </font>
    </dxf>
    <dxf>
      <font>
        <color rgb="FF1F3F5F"/>
      </font>
    </dxf>
    <dxf>
      <font>
        <color rgb="FF1F3F5F"/>
      </font>
    </dxf>
    <dxf>
      <font>
        <color rgb="FF1F3F5F"/>
      </font>
    </dxf>
    <dxf>
      <font>
        <color rgb="FF1F3F5F"/>
      </font>
    </dxf>
    <dxf>
      <font>
        <color rgb="FF1F3F5F"/>
      </font>
    </dxf>
    <dxf>
      <font>
        <color rgb="FF1F3F5F"/>
      </font>
    </dxf>
    <dxf>
      <font>
        <color rgb="FF1F3F5F"/>
      </font>
    </dxf>
    <dxf>
      <font>
        <color rgb="FF1F3F5F"/>
      </font>
    </dxf>
    <dxf>
      <font>
        <color rgb="FF1F3F5F"/>
      </font>
    </dxf>
    <dxf>
      <font>
        <color rgb="FF1F3F5F"/>
      </font>
    </dxf>
    <dxf>
      <font>
        <color rgb="FF1F3F5F"/>
      </font>
    </dxf>
    <dxf>
      <font>
        <color rgb="FF1F3F5F"/>
      </font>
    </dxf>
    <dxf>
      <font>
        <color rgb="FF1F3F5F"/>
      </font>
    </dxf>
    <dxf>
      <font>
        <color rgb="FF1F3F5F"/>
      </font>
    </dxf>
    <dxf>
      <font>
        <color rgb="FF1F3F5F"/>
      </font>
    </dxf>
    <dxf>
      <font>
        <color rgb="FF1F3F5F"/>
      </font>
    </dxf>
    <dxf>
      <font>
        <color rgb="FF1F3F5F"/>
      </font>
    </dxf>
    <dxf>
      <font>
        <color rgb="FF1F3F5F"/>
      </font>
    </dxf>
    <dxf>
      <font>
        <color rgb="FF1F3F5F"/>
      </font>
    </dxf>
    <dxf>
      <font>
        <color rgb="FF1F3F5F"/>
      </font>
    </dxf>
    <dxf>
      <font>
        <color rgb="FF1F3F5F"/>
      </font>
    </dxf>
    <dxf>
      <font>
        <color rgb="FF1F3F5F"/>
      </font>
    </dxf>
    <dxf>
      <font>
        <color rgb="FF1F3F5F"/>
      </font>
    </dxf>
    <dxf>
      <font>
        <color rgb="FF1F3F5F"/>
      </font>
    </dxf>
    <dxf>
      <font>
        <color rgb="FF1F3F5F"/>
      </font>
    </dxf>
    <dxf>
      <font>
        <color rgb="FF1F3F5F"/>
      </font>
    </dxf>
    <dxf>
      <font>
        <color rgb="FF1F3F5F"/>
      </font>
    </dxf>
    <dxf>
      <font>
        <color rgb="FF1F3F5F"/>
      </font>
    </dxf>
    <dxf>
      <font>
        <color rgb="FF1F3F5F"/>
      </font>
    </dxf>
    <dxf>
      <font>
        <color rgb="FF1F3F5F"/>
      </font>
    </dxf>
    <dxf>
      <font>
        <color rgb="FF1F3F5F"/>
      </font>
    </dxf>
    <dxf>
      <font>
        <color rgb="FF1F3F5F"/>
      </font>
    </dxf>
    <dxf>
      <font>
        <color rgb="FF1F3F5F"/>
      </font>
    </dxf>
    <dxf>
      <font>
        <color rgb="FF1F3F5F"/>
      </font>
    </dxf>
    <dxf>
      <font>
        <color rgb="FF1F3F5F"/>
      </font>
    </dxf>
    <dxf>
      <font>
        <color rgb="FF1F3F5F"/>
      </font>
    </dxf>
    <dxf>
      <font>
        <color rgb="FF1F3F5F"/>
      </font>
    </dxf>
    <dxf>
      <font>
        <color rgb="FF1F3F5F"/>
      </font>
    </dxf>
    <dxf>
      <font>
        <color rgb="FF1F3F5F"/>
      </font>
    </dxf>
    <dxf>
      <font>
        <color rgb="FF1F3F5F"/>
      </font>
    </dxf>
    <dxf>
      <font>
        <color rgb="FF1F3F5F"/>
      </font>
    </dxf>
    <dxf>
      <font>
        <color rgb="FF1F3F5F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color theme="1" tint="0.249977111117893"/>
      </font>
      <alignment horizontal="right"/>
    </dxf>
    <dxf>
      <alignment wrapText="1"/>
    </dxf>
    <dxf>
      <fill>
        <patternFill patternType="none">
          <fgColor indexed="64"/>
          <bgColor indexed="65"/>
        </patternFill>
      </fill>
    </dxf>
    <dxf>
      <alignment wrapText="1"/>
    </dxf>
    <dxf>
      <alignment vertical="center"/>
    </dxf>
    <dxf>
      <alignment horizontal="center"/>
    </dxf>
    <dxf>
      <fill>
        <patternFill>
          <bgColor theme="0" tint="-4.9989318521683403E-2"/>
        </patternFill>
      </fill>
    </dxf>
    <dxf>
      <alignment horizontal="left" relativeIndent="1"/>
    </dxf>
    <dxf>
      <font>
        <color theme="7" tint="0.79998168889431442"/>
      </font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border>
        <bottom style="thin">
          <color theme="0" tint="-0.249977111117893"/>
        </bottom>
      </border>
    </dxf>
    <dxf>
      <border>
        <bottom style="thin">
          <color theme="0" tint="-0.249977111117893"/>
        </bottom>
      </border>
    </dxf>
    <dxf>
      <font>
        <color theme="4" tint="0.79998168889431442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numFmt numFmtId="171" formatCode="&quot;&quot;0%&quot; &quot;;&quot;&quot;\ \-0%&quot; &quot;;&quot; - &quot;;@"/>
    </dxf>
    <dxf>
      <alignment wrapText="1"/>
    </dxf>
    <dxf>
      <alignment vertical="center"/>
    </dxf>
    <dxf>
      <alignment horizontal="center"/>
    </dxf>
    <dxf>
      <numFmt numFmtId="174" formatCode="&quot;&quot;#,##0.0&quot; &quot;;&quot;&quot;\-#,##0.0&quot; &quot;;&quot; &quot;\ \-\ &quot; &quot;"/>
    </dxf>
    <dxf>
      <alignment horizontal="center" vertical="center" wrapText="1"/>
    </dxf>
    <dxf>
      <alignment wrapText="1"/>
    </dxf>
    <dxf>
      <alignment vertical="center"/>
    </dxf>
    <dxf>
      <alignment horizontal="center"/>
    </dxf>
    <dxf>
      <border>
        <right style="thin">
          <color theme="0" tint="-0.249977111117893"/>
        </right>
      </border>
    </dxf>
    <dxf>
      <border>
        <right style="thin">
          <color theme="0" tint="-0.249977111117893"/>
        </right>
      </border>
    </dxf>
    <dxf>
      <border>
        <left style="thin">
          <color theme="0" tint="-0.249977111117893"/>
        </left>
      </border>
    </dxf>
    <dxf>
      <border>
        <left style="thin">
          <color theme="0" tint="-0.249977111117893"/>
        </lef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alignment wrapText="1"/>
    </dxf>
    <dxf>
      <alignment vertical="center"/>
    </dxf>
    <dxf>
      <alignment horizontal="center"/>
    </dxf>
    <dxf>
      <alignment wrapText="1"/>
    </dxf>
    <dxf>
      <alignment vertical="center"/>
    </dxf>
    <dxf>
      <numFmt numFmtId="165" formatCode="&quot;&quot;#,##0&quot; &quot;;&quot;&quot;\-#,##0&quot; &quot;;&quot; &quot;\ \-\ &quot; &quot;"/>
    </dxf>
    <dxf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Open Sans"/>
        <family val="2"/>
        <scheme val="none"/>
      </font>
      <numFmt numFmtId="171" formatCode="&quot;&quot;0%&quot; &quot;;&quot;&quot;\ \-0%&quot; &quot;;&quot; - &quot;;@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Open Sans"/>
        <family val="2"/>
        <scheme val="none"/>
      </font>
      <numFmt numFmtId="171" formatCode="&quot;&quot;0%&quot; &quot;;&quot;&quot;\ \-0%&quot; &quot;;&quot; - &quot;;@"/>
      <fill>
        <patternFill patternType="solid">
          <fgColor indexed="64"/>
          <bgColor rgb="FFCCFFCC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Open Sans"/>
        <family val="2"/>
        <scheme val="none"/>
      </font>
      <numFmt numFmtId="171" formatCode="&quot;&quot;0%&quot; &quot;;&quot;&quot;\ \-0%&quot; &quot;;&quot; - &quot;;@"/>
      <fill>
        <patternFill patternType="solid">
          <fgColor indexed="64"/>
          <bgColor rgb="FFCCFFCC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Open Sans"/>
        <family val="2"/>
        <scheme val="none"/>
      </font>
      <numFmt numFmtId="171" formatCode="&quot;&quot;0%&quot; &quot;;&quot;&quot;\ \-0%&quot; &quot;;&quot; - &quot;;@"/>
      <fill>
        <patternFill patternType="solid">
          <fgColor indexed="64"/>
          <bgColor rgb="FFCCFFCC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Open Sans"/>
        <family val="2"/>
        <scheme val="none"/>
      </font>
      <fill>
        <patternFill patternType="solid">
          <fgColor indexed="64"/>
          <bgColor rgb="FFCCFFCC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Open Sans"/>
        <family val="2"/>
        <scheme val="none"/>
      </font>
      <fill>
        <patternFill patternType="solid">
          <fgColor indexed="64"/>
          <bgColor rgb="FFCCFFCC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Open Sans"/>
        <family val="2"/>
        <scheme val="none"/>
      </font>
      <numFmt numFmtId="171" formatCode="&quot;&quot;0%&quot; &quot;;&quot;&quot;\ \-0%&quot; &quot;;&quot; - &quot;;@"/>
      <fill>
        <patternFill patternType="solid">
          <fgColor indexed="64"/>
          <bgColor rgb="FFCCFFCC"/>
        </patternFill>
      </fill>
      <alignment horizontal="general" vertical="center" textRotation="0" wrapText="0" indent="0" justifyLastLine="0" shrinkToFit="0" readingOrder="0"/>
    </dxf>
    <dxf>
      <border outline="0">
        <bottom style="thin">
          <color theme="0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Open Sans"/>
        <family val="2"/>
        <scheme val="none"/>
      </font>
      <numFmt numFmtId="171" formatCode="&quot;&quot;0%&quot; &quot;;&quot;&quot;\ \-0%&quot; &quot;;&quot; - &quot;;@"/>
      <fill>
        <patternFill patternType="solid">
          <fgColor indexed="64"/>
          <bgColor theme="2"/>
        </patternFill>
      </fill>
      <alignment horizontal="center" vertical="top" textRotation="0" wrapText="1" indent="0" justifyLastLine="0" shrinkToFit="0" readingOrder="0"/>
    </dxf>
    <dxf>
      <border>
        <vertical/>
      </border>
    </dxf>
    <dxf>
      <border>
        <vertical/>
      </border>
    </dxf>
    <dxf>
      <border>
        <vertical/>
      </border>
    </dxf>
    <dxf>
      <numFmt numFmtId="167" formatCode="#,##0&quot; &quot;;\-#,##0&quot; &quot;;&quot; - &quot;;@"/>
    </dxf>
    <dxf>
      <numFmt numFmtId="167" formatCode="#,##0&quot; &quot;;\-#,##0&quot; &quot;;&quot; - &quot;;@"/>
    </dxf>
    <dxf>
      <numFmt numFmtId="167" formatCode="#,##0&quot; &quot;;\-#,##0&quot; &quot;;&quot; - &quot;;@"/>
    </dxf>
    <dxf>
      <numFmt numFmtId="167" formatCode="#,##0&quot; &quot;;\-#,##0&quot; &quot;;&quot; - &quot;;@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relativeIndent="1"/>
    </dxf>
    <dxf>
      <alignment relativeIndent="1"/>
    </dxf>
    <dxf>
      <font>
        <color theme="1" tint="0.249977111117893"/>
      </font>
    </dxf>
    <dxf>
      <font>
        <color theme="1" tint="0.249977111117893"/>
      </font>
    </dxf>
    <dxf>
      <font>
        <color theme="1" tint="0.249977111117893"/>
      </font>
    </dxf>
    <dxf>
      <font>
        <color theme="1" tint="0.249977111117893"/>
      </font>
    </dxf>
    <dxf>
      <font>
        <color theme="1" tint="0.249977111117893"/>
      </font>
    </dxf>
    <dxf>
      <font>
        <color theme="1" tint="0.249977111117893"/>
      </font>
    </dxf>
    <dxf>
      <font>
        <color theme="1" tint="0.249977111117893"/>
      </font>
    </dxf>
    <dxf>
      <font>
        <color theme="1" tint="0.249977111117893"/>
      </font>
    </dxf>
    <dxf>
      <font>
        <color theme="1" tint="0.249977111117893"/>
      </font>
    </dxf>
    <dxf>
      <font>
        <color theme="1" tint="0.249977111117893"/>
      </font>
    </dxf>
    <dxf>
      <font>
        <color theme="1" tint="0.249977111117893"/>
      </font>
    </dxf>
    <dxf>
      <font>
        <color theme="1" tint="0.249977111117893"/>
      </font>
    </dxf>
    <dxf>
      <font>
        <color theme="1" tint="0.249977111117893"/>
      </font>
    </dxf>
    <dxf>
      <alignment horizontal="center"/>
    </dxf>
    <dxf>
      <alignment horizontal="center"/>
    </dxf>
    <dxf>
      <numFmt numFmtId="175" formatCode="&quot;...&quot;;&quot;...&quot;;&quot;...&quot;;&quot;...&quot;"/>
    </dxf>
    <dxf>
      <numFmt numFmtId="175" formatCode="&quot;...&quot;;&quot;...&quot;;&quot;...&quot;;&quot;...&quot;"/>
    </dxf>
    <dxf>
      <numFmt numFmtId="176" formatCode="&quot;...&quot;"/>
    </dxf>
    <dxf>
      <border>
        <top style="thin">
          <color theme="0" tint="-0.249977111117893"/>
        </top>
      </border>
    </dxf>
    <dxf>
      <border>
        <top style="thin">
          <color theme="0" tint="-0.249977111117893"/>
        </top>
      </border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numFmt numFmtId="167" formatCode="#,##0&quot; &quot;;\-#,##0&quot; &quot;;&quot; - &quot;;@"/>
    </dxf>
    <dxf>
      <border>
        <bottom style="thin">
          <color theme="0" tint="-0.249977111117893"/>
        </bottom>
      </border>
    </dxf>
    <dxf>
      <border>
        <bottom style="thin">
          <color theme="0" tint="-0.249977111117893"/>
        </bottom>
      </border>
    </dxf>
    <dxf>
      <border>
        <horizontal/>
      </border>
    </dxf>
    <dxf>
      <border>
        <horizontal/>
      </border>
    </dxf>
    <dxf>
      <border>
        <bottom style="thin">
          <color theme="0" tint="-0.249977111117893"/>
        </bottom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numFmt numFmtId="173" formatCode="#,##0.0&quot; &quot;;\-#,##0.0&quot; &quot;;&quot; - &quot;;@"/>
    </dxf>
    <dxf>
      <numFmt numFmtId="173" formatCode="#,##0.0&quot; &quot;;\-#,##0.0&quot; &quot;;&quot; - &quot;;@"/>
    </dxf>
    <dxf>
      <numFmt numFmtId="173" formatCode="#,##0.0&quot; &quot;;\-#,##0.0&quot; &quot;;&quot; - &quot;;@"/>
    </dxf>
    <dxf>
      <numFmt numFmtId="173" formatCode="#,##0.0&quot; &quot;;\-#,##0.0&quot; &quot;;&quot; - &quot;;@"/>
    </dxf>
    <dxf>
      <numFmt numFmtId="173" formatCode="#,##0.0&quot; &quot;;\-#,##0.0&quot; &quot;;&quot; - &quot;;@"/>
    </dxf>
    <dxf>
      <numFmt numFmtId="173" formatCode="#,##0.0&quot; &quot;;\-#,##0.0&quot; &quot;;&quot; - &quot;;@"/>
    </dxf>
    <dxf>
      <numFmt numFmtId="173" formatCode="#,##0.0&quot; &quot;;\-#,##0.0&quot; &quot;;&quot; - &quot;;@"/>
    </dxf>
    <dxf>
      <numFmt numFmtId="173" formatCode="#,##0.0&quot; &quot;;\-#,##0.0&quot; &quot;;&quot; - &quot;;@"/>
    </dxf>
    <dxf>
      <alignment horizontal="right"/>
    </dxf>
    <dxf>
      <alignment horizontal="right"/>
    </dxf>
    <dxf>
      <alignment horizontal="right"/>
    </dxf>
    <dxf>
      <alignment horizontal="right"/>
    </dxf>
    <dxf>
      <border>
        <right style="thin">
          <color theme="0" tint="-0.249977111117893"/>
        </right>
      </border>
    </dxf>
    <dxf>
      <border>
        <right style="thin">
          <color theme="0" tint="-0.249977111117893"/>
        </right>
      </border>
    </dxf>
    <dxf>
      <border>
        <left style="thin">
          <color theme="0" tint="-0.249977111117893"/>
        </left>
      </border>
    </dxf>
    <dxf>
      <fill>
        <patternFill patternType="solid">
          <bgColor theme="4" tint="0.79998168889431442"/>
        </patternFill>
      </fill>
    </dxf>
    <dxf>
      <numFmt numFmtId="167" formatCode="#,##0&quot; &quot;;\-#,##0&quot; &quot;;&quot; - &quot;;@"/>
    </dxf>
    <dxf>
      <border>
        <vertical/>
      </border>
    </dxf>
    <dxf>
      <border>
        <vertical/>
      </border>
    </dxf>
    <dxf>
      <border>
        <vertical/>
      </border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alignment wrapText="0"/>
    </dxf>
    <dxf>
      <alignment horizontal="general"/>
    </dxf>
    <dxf>
      <border>
        <bottom style="thin">
          <color theme="0" tint="-0.249977111117893"/>
        </bottom>
      </border>
    </dxf>
    <dxf>
      <border>
        <bottom style="thin">
          <color theme="0" tint="-0.249977111117893"/>
        </bottom>
      </border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numFmt numFmtId="173" formatCode="#,##0.0&quot; &quot;;\-#,##0.0&quot; &quot;;&quot; - &quot;;@"/>
    </dxf>
    <dxf>
      <numFmt numFmtId="173" formatCode="#,##0.0&quot; &quot;;\-#,##0.0&quot; &quot;;&quot; - &quot;;@"/>
    </dxf>
    <dxf>
      <numFmt numFmtId="173" formatCode="#,##0.0&quot; &quot;;\-#,##0.0&quot; &quot;;&quot; - &quot;;@"/>
    </dxf>
    <dxf>
      <numFmt numFmtId="173" formatCode="#,##0.0&quot; &quot;;\-#,##0.0&quot; &quot;;&quot; - &quot;;@"/>
    </dxf>
    <dxf>
      <numFmt numFmtId="173" formatCode="#,##0.0&quot; &quot;;\-#,##0.0&quot; &quot;;&quot; - &quot;;@"/>
    </dxf>
    <dxf>
      <numFmt numFmtId="173" formatCode="#,##0.0&quot; &quot;;\-#,##0.0&quot; &quot;;&quot; - &quot;;@"/>
    </dxf>
    <dxf>
      <numFmt numFmtId="173" formatCode="#,##0.0&quot; &quot;;\-#,##0.0&quot; &quot;;&quot; - &quot;;@"/>
    </dxf>
    <dxf>
      <numFmt numFmtId="173" formatCode="#,##0.0&quot; &quot;;\-#,##0.0&quot; &quot;;&quot; - &quot;;@"/>
    </dxf>
    <dxf>
      <alignment horizontal="right"/>
    </dxf>
    <dxf>
      <alignment horizontal="right"/>
    </dxf>
    <dxf>
      <alignment horizontal="right"/>
    </dxf>
    <dxf>
      <alignment horizontal="right"/>
    </dxf>
    <dxf>
      <border>
        <right style="thin">
          <color theme="0" tint="-0.249977111117893"/>
        </right>
      </border>
    </dxf>
    <dxf>
      <border>
        <right style="thin">
          <color theme="0" tint="-0.249977111117893"/>
        </right>
      </border>
    </dxf>
    <dxf>
      <border>
        <left style="thin">
          <color theme="0" tint="-0.249977111117893"/>
        </left>
      </border>
    </dxf>
    <dxf>
      <border>
        <vertical/>
      </border>
    </dxf>
    <dxf>
      <border>
        <vertical/>
      </border>
    </dxf>
    <dxf>
      <border>
        <vertical/>
      </border>
    </dxf>
    <dxf>
      <alignment horizontal="general"/>
    </dxf>
    <dxf>
      <border>
        <bottom style="thin">
          <color theme="0" tint="-0.249977111117893"/>
        </bottom>
      </border>
    </dxf>
    <dxf>
      <border>
        <horizontal/>
      </border>
    </dxf>
    <dxf>
      <border>
        <horizontal/>
      </border>
    </dxf>
    <dxf>
      <numFmt numFmtId="173" formatCode="#,##0.0&quot; &quot;;\-#,##0.0&quot; &quot;;&quot; - &quot;;@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numFmt numFmtId="173" formatCode="#,##0.0&quot; &quot;;\-#,##0.0&quot; &quot;;&quot; - &quot;;@"/>
    </dxf>
    <dxf>
      <numFmt numFmtId="173" formatCode="#,##0.0&quot; &quot;;\-#,##0.0&quot; &quot;;&quot; - &quot;;@"/>
    </dxf>
    <dxf>
      <numFmt numFmtId="173" formatCode="#,##0.0&quot; &quot;;\-#,##0.0&quot; &quot;;&quot; - &quot;;@"/>
    </dxf>
    <dxf>
      <numFmt numFmtId="173" formatCode="#,##0.0&quot; &quot;;\-#,##0.0&quot; &quot;;&quot; - &quot;;@"/>
    </dxf>
    <dxf>
      <numFmt numFmtId="173" formatCode="#,##0.0&quot; &quot;;\-#,##0.0&quot; &quot;;&quot; - &quot;;@"/>
    </dxf>
    <dxf>
      <numFmt numFmtId="173" formatCode="#,##0.0&quot; &quot;;\-#,##0.0&quot; &quot;;&quot; - &quot;;@"/>
    </dxf>
    <dxf>
      <numFmt numFmtId="173" formatCode="#,##0.0&quot; &quot;;\-#,##0.0&quot; &quot;;&quot; - &quot;;@"/>
    </dxf>
    <dxf>
      <numFmt numFmtId="173" formatCode="#,##0.0&quot; &quot;;\-#,##0.0&quot; &quot;;&quot; - &quot;;@"/>
    </dxf>
    <dxf>
      <alignment horizontal="right"/>
    </dxf>
    <dxf>
      <alignment horizontal="right"/>
    </dxf>
    <dxf>
      <alignment horizontal="right"/>
    </dxf>
    <dxf>
      <alignment horizontal="right"/>
    </dxf>
    <dxf>
      <border>
        <right style="thin">
          <color theme="0" tint="-0.249977111117893"/>
        </right>
      </border>
    </dxf>
    <dxf>
      <border>
        <right style="thin">
          <color theme="0" tint="-0.249977111117893"/>
        </right>
      </border>
    </dxf>
    <dxf>
      <border>
        <left style="thin">
          <color theme="0" tint="-0.249977111117893"/>
        </left>
      </border>
    </dxf>
    <dxf>
      <border>
        <vertical/>
      </border>
    </dxf>
    <dxf>
      <border>
        <vertical/>
      </border>
    </dxf>
    <dxf>
      <border>
        <vertical/>
      </border>
    </dxf>
    <dxf>
      <border>
        <left style="thin">
          <color theme="0" tint="-0.249977111117893"/>
        </left>
      </border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numFmt numFmtId="167" formatCode="#,##0&quot; &quot;;\-#,##0&quot; &quot;;&quot; - &quot;;@"/>
    </dxf>
    <dxf>
      <alignment relativeIndent="1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font>
        <b/>
      </font>
    </dxf>
    <dxf>
      <font>
        <b/>
      </font>
    </dxf>
    <dxf>
      <border>
        <top style="thin">
          <color theme="0" tint="-0.249977111117893"/>
        </top>
      </border>
    </dxf>
    <dxf>
      <fill>
        <patternFill patternType="solid">
          <bgColor theme="7" tint="0.79998168889431442"/>
        </patternFill>
      </fill>
    </dxf>
    <dxf>
      <font>
        <color theme="1" tint="0.249977111117893"/>
      </font>
      <numFmt numFmtId="175" formatCode="&quot;...&quot;;&quot;...&quot;;&quot;...&quot;;&quot;...&quot;"/>
      <alignment horizontal="center" vertical="center"/>
    </dxf>
    <dxf>
      <font>
        <color theme="1" tint="0.249977111117893"/>
      </font>
      <numFmt numFmtId="175" formatCode="&quot;...&quot;;&quot;...&quot;;&quot;...&quot;;&quot;...&quot;"/>
      <alignment horizontal="center" vertical="center"/>
    </dxf>
    <dxf>
      <border>
        <bottom style="thin">
          <color theme="0" tint="-0.249977111117893"/>
        </bottom>
      </border>
    </dxf>
    <dxf>
      <border>
        <bottom style="thin">
          <color theme="0" tint="-0.249977111117893"/>
        </bottom>
      </border>
    </dxf>
    <dxf>
      <alignment relativeIndent="1"/>
    </dxf>
    <dxf>
      <alignment horizontal="right"/>
    </dxf>
    <dxf>
      <alignment horizontal="right"/>
    </dxf>
    <dxf>
      <numFmt numFmtId="173" formatCode="#,##0.0&quot; &quot;;\-#,##0.0&quot; &quot;;&quot; - &quot;;@"/>
    </dxf>
    <dxf>
      <numFmt numFmtId="173" formatCode="#,##0.0&quot; &quot;;\-#,##0.0&quot; &quot;;&quot; - &quot;;@"/>
    </dxf>
    <dxf>
      <numFmt numFmtId="173" formatCode="#,##0.0&quot; &quot;;\-#,##0.0&quot; &quot;;&quot; - &quot;;@"/>
    </dxf>
    <dxf>
      <numFmt numFmtId="173" formatCode="#,##0.0&quot; &quot;;\-#,##0.0&quot; &quot;;&quot; - &quot;;@"/>
    </dxf>
    <dxf>
      <numFmt numFmtId="173" formatCode="#,##0.0&quot; &quot;;\-#,##0.0&quot; &quot;;&quot; - &quot;;@"/>
    </dxf>
    <dxf>
      <numFmt numFmtId="173" formatCode="#,##0.0&quot; &quot;;\-#,##0.0&quot; &quot;;&quot; - &quot;;@"/>
    </dxf>
    <dxf>
      <numFmt numFmtId="173" formatCode="#,##0.0&quot; &quot;;\-#,##0.0&quot; &quot;;&quot; - &quot;;@"/>
    </dxf>
    <dxf>
      <numFmt numFmtId="173" formatCode="#,##0.0&quot; &quot;;\-#,##0.0&quot; &quot;;&quot; - &quot;;@"/>
    </dxf>
    <dxf>
      <alignment horizontal="right"/>
    </dxf>
    <dxf>
      <alignment horizontal="right"/>
    </dxf>
    <dxf>
      <alignment horizontal="right"/>
    </dxf>
    <dxf>
      <alignment horizontal="right"/>
    </dxf>
    <dxf>
      <border>
        <right style="thin">
          <color theme="0" tint="-0.249977111117893"/>
        </right>
      </border>
    </dxf>
    <dxf>
      <border>
        <right style="thin">
          <color theme="0" tint="-0.249977111117893"/>
        </right>
      </border>
    </dxf>
    <dxf>
      <border>
        <left style="thin">
          <color theme="0" tint="-0.249977111117893"/>
        </left>
      </border>
    </dxf>
    <dxf>
      <fill>
        <patternFill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top/>
      </border>
    </dxf>
    <dxf>
      <fill>
        <patternFill patternType="solid">
          <fgColor theme="4" tint="0.79995117038483843"/>
          <bgColor theme="4" tint="0.79995117038483843"/>
        </patternFill>
      </fill>
      <border>
        <bottom/>
      </border>
    </dxf>
  </dxfs>
  <tableStyles count="1" defaultTableStyle="TableStyleMedium2" defaultPivotStyle="PivotStyleLight16">
    <tableStyle name="Flattened Pivot Style" table="0" count="3" xr9:uid="{00000000-0011-0000-FFFF-FFFF00000000}">
      <tableStyleElement type="headerRow" dxfId="394"/>
      <tableStyleElement type="totalRow" dxfId="393"/>
      <tableStyleElement type="secondRowStripe" dxfId="392"/>
    </tableStyle>
  </tableStyles>
  <colors>
    <mruColors>
      <color rgb="FF1F3F5F"/>
      <color rgb="FF0000FF"/>
      <color rgb="FFE7FF99"/>
      <color rgb="FFCCFFCC"/>
      <color rgb="FFEFFF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18" Type="http://schemas.openxmlformats.org/officeDocument/2006/relationships/customXml" Target="../customXml/item7.xml"/><Relationship Id="rId26" Type="http://schemas.openxmlformats.org/officeDocument/2006/relationships/customXml" Target="../customXml/item15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0.xml"/><Relationship Id="rId7" Type="http://schemas.openxmlformats.org/officeDocument/2006/relationships/connections" Target="connections.xml"/><Relationship Id="rId12" Type="http://schemas.openxmlformats.org/officeDocument/2006/relationships/customXml" Target="../customXml/item1.xml"/><Relationship Id="rId17" Type="http://schemas.openxmlformats.org/officeDocument/2006/relationships/customXml" Target="../customXml/item6.xml"/><Relationship Id="rId25" Type="http://schemas.openxmlformats.org/officeDocument/2006/relationships/customXml" Target="../customXml/item1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5.xml"/><Relationship Id="rId20" Type="http://schemas.openxmlformats.org/officeDocument/2006/relationships/customXml" Target="../customXml/item9.xml"/><Relationship Id="rId29" Type="http://schemas.openxmlformats.org/officeDocument/2006/relationships/customXml" Target="../customXml/item18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alcChain" Target="calcChain.xml"/><Relationship Id="rId24" Type="http://schemas.openxmlformats.org/officeDocument/2006/relationships/customXml" Target="../customXml/item13.xml"/><Relationship Id="rId5" Type="http://schemas.openxmlformats.org/officeDocument/2006/relationships/pivotCacheDefinition" Target="pivotCache/pivotCacheDefinition1.xml"/><Relationship Id="rId15" Type="http://schemas.openxmlformats.org/officeDocument/2006/relationships/customXml" Target="../customXml/item4.xml"/><Relationship Id="rId23" Type="http://schemas.openxmlformats.org/officeDocument/2006/relationships/customXml" Target="../customXml/item12.xml"/><Relationship Id="rId28" Type="http://schemas.openxmlformats.org/officeDocument/2006/relationships/customXml" Target="../customXml/item17.xml"/><Relationship Id="rId10" Type="http://schemas.openxmlformats.org/officeDocument/2006/relationships/powerPivotData" Target="model/item.data"/><Relationship Id="rId19" Type="http://schemas.openxmlformats.org/officeDocument/2006/relationships/customXml" Target="../customXml/item8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Relationship Id="rId22" Type="http://schemas.openxmlformats.org/officeDocument/2006/relationships/customXml" Target="../customXml/item11.xml"/><Relationship Id="rId27" Type="http://schemas.openxmlformats.org/officeDocument/2006/relationships/customXml" Target="../customXml/item16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abrizio Nastri" refreshedDate="45827.60491238426" missingItemsLimit="0" createdVersion="8" refreshedVersion="8" minRefreshableVersion="3" recordCount="68" xr:uid="{8B9DC9EC-B548-4472-ACED-12BE05A3E8F3}">
  <cacheSource type="worksheet">
    <worksheetSource name="transactions"/>
  </cacheSource>
  <cacheFields count="33">
    <cacheField name="Start" numFmtId="168">
      <sharedItems containsNonDate="0" containsDate="1" containsString="0" containsBlank="1" minDate="2022-12-01T00:00:00" maxDate="2023-12-02T00:00:00" count="14">
        <m/>
        <d v="2022-12-01T00:00:00"/>
        <d v="2023-01-01T00:00:00"/>
        <d v="2023-02-01T00:00:00"/>
        <d v="2023-03-01T00:00:00"/>
        <d v="2023-04-01T00:00:00"/>
        <d v="2023-05-01T00:00:00"/>
        <d v="2023-06-01T00:00:00"/>
        <d v="2023-07-01T00:00:00"/>
        <d v="2023-08-01T00:00:00"/>
        <d v="2023-09-01T00:00:00"/>
        <d v="2023-10-01T00:00:00"/>
        <d v="2023-11-01T00:00:00"/>
        <d v="2023-12-01T00:00:00"/>
      </sharedItems>
      <fieldGroup par="32"/>
    </cacheField>
    <cacheField name="Finish" numFmtId="168">
      <sharedItems containsNonDate="0" containsDate="1" containsString="0" containsBlank="1" minDate="2022-12-01T00:00:00" maxDate="2024-01-01T00:00:00" count="15">
        <m/>
        <d v="2022-12-01T00:00:00"/>
        <d v="2022-12-31T00:00:00"/>
        <d v="2023-01-31T00:00:00"/>
        <d v="2023-02-28T00:00:00"/>
        <d v="2023-03-31T00:00:00"/>
        <d v="2023-04-30T00:00:00"/>
        <d v="2023-05-31T00:00:00"/>
        <d v="2023-06-30T00:00:00"/>
        <d v="2023-07-31T00:00:00"/>
        <d v="2023-08-31T00:00:00"/>
        <d v="2023-09-30T00:00:00"/>
        <d v="2023-10-31T00:00:00"/>
        <d v="2023-11-30T00:00:00"/>
        <d v="2023-12-31T00:00:00"/>
      </sharedItems>
      <fieldGroup par="29"/>
    </cacheField>
    <cacheField name="Third Party" numFmtId="0">
      <sharedItems containsBlank="1" count="6">
        <m/>
        <s v="Investor"/>
        <s v="Suppliers"/>
        <s v="Alphonse"/>
        <s v="Clients"/>
        <s v="Landlord"/>
      </sharedItems>
    </cacheField>
    <cacheField name="Type" numFmtId="0">
      <sharedItems containsBlank="1"/>
    </cacheField>
    <cacheField name="Amount, €" numFmtId="167">
      <sharedItems containsString="0" containsBlank="1" containsNumber="1" containsInteger="1" minValue="-250" maxValue="300"/>
    </cacheField>
    <cacheField name="Nature" numFmtId="166">
      <sharedItems containsBlank="1" count="4">
        <m/>
        <s v="Funding"/>
        <s v="Commercial"/>
        <s v="Resolution"/>
      </sharedItems>
    </cacheField>
    <cacheField name="Cash, %" numFmtId="0">
      <sharedItems containsString="0" containsBlank="1" containsNumber="1" minValue="0" maxValue="134"/>
    </cacheField>
    <cacheField name="Flex, %" numFmtId="0">
      <sharedItems containsString="0" containsBlank="1" containsNumber="1" minValue="-35" maxValue="0.33333333333333331"/>
    </cacheField>
    <cacheField name="Credit, %" numFmtId="0">
      <sharedItems containsString="0" containsBlank="1" containsNumber="1" minValue="-300" maxValue="0.33333333333333343"/>
    </cacheField>
    <cacheField name="Total, %" numFmtId="0">
      <sharedItems containsString="0" containsBlank="1" containsNumber="1" minValue="-300" maxValue="74"/>
    </cacheField>
    <cacheField name="Average flex payable %" numFmtId="166">
      <sharedItems containsString="0" containsBlank="1" containsNumber="1" minValue="0" maxValue="0.75108225108225102"/>
    </cacheField>
    <cacheField name="Risk factor, %" numFmtId="0">
      <sharedItems containsString="0" containsBlank="1" containsNumber="1" minValue="0" maxValue="0.8"/>
    </cacheField>
    <cacheField name="Cash balance before, €" numFmtId="0">
      <sharedItems containsString="0" containsBlank="1" containsNumber="1" containsInteger="1" minValue="0" maxValue="702"/>
    </cacheField>
    <cacheField name="Base reserve, €" numFmtId="0">
      <sharedItems containsString="0" containsBlank="1" containsNumber="1" containsInteger="1" minValue="0" maxValue="100"/>
    </cacheField>
    <cacheField name="Cash available for flex, €" numFmtId="0">
      <sharedItems containsString="0" containsBlank="1" containsNumber="1" containsInteger="1" minValue="0" maxValue="602"/>
    </cacheField>
    <cacheField name="Flex payable, %" numFmtId="166">
      <sharedItems containsString="0" containsBlank="1" containsNumber="1" minValue="0" maxValue="1"/>
    </cacheField>
    <cacheField name="Flex residue, %" numFmtId="166">
      <sharedItems containsString="0" containsBlank="1" containsNumber="1" minValue="0" maxValue="1"/>
    </cacheField>
    <cacheField name="Flex residue, €" numFmtId="0">
      <sharedItems containsString="0" containsBlank="1" containsNumber="1" minValue="-35" maxValue="0"/>
    </cacheField>
    <cacheField name="Cash, €" numFmtId="0">
      <sharedItems containsString="0" containsBlank="1" containsNumber="1" minValue="-250" maxValue="300"/>
    </cacheField>
    <cacheField name="Credit, €" numFmtId="0">
      <sharedItems containsString="0" containsBlank="1" containsNumber="1" minValue="-300" maxValue="0"/>
    </cacheField>
    <cacheField name="Total, €" numFmtId="0">
      <sharedItems containsString="0" containsBlank="1" containsNumber="1" containsInteger="1" minValue="-300" maxValue="210"/>
    </cacheField>
    <cacheField name="Cash balance after, €" numFmtId="0">
      <sharedItems containsString="0" containsBlank="1" containsNumber="1" containsInteger="1" minValue="0" maxValue="667"/>
    </cacheField>
    <cacheField name="Risk €" numFmtId="170">
      <sharedItems containsString="0" containsBlank="1" containsNumber="1" minValue="0" maxValue="240"/>
    </cacheField>
    <cacheField name="Token Index, €/#" numFmtId="170">
      <sharedItems containsString="0" containsBlank="1" containsNumber="1" minValue="10" maxValue="12.498090977828191"/>
    </cacheField>
    <cacheField name="Tokens Issued, #" numFmtId="170">
      <sharedItems containsString="0" containsBlank="1" containsNumber="1" minValue="0" maxValue="24"/>
    </cacheField>
    <cacheField name="Credit Issued, €" numFmtId="170">
      <sharedItems containsString="0" containsBlank="1" containsNumber="1" minValue="0" maxValue="300"/>
    </cacheField>
    <cacheField name="Cash, %2" numFmtId="0" formula=" IFERROR('Cash, €'/'Total, €',0)" databaseField="0"/>
    <cacheField name="Months (Finish)" numFmtId="0" databaseField="0">
      <fieldGroup base="1">
        <rangePr groupBy="months" startDate="2022-12-01T00:00:00" endDate="2024-01-01T00:00:00"/>
        <groupItems count="14">
          <s v="&lt;01/12/2022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01/01/2024"/>
        </groupItems>
      </fieldGroup>
    </cacheField>
    <cacheField name="Quarters (Finish)" numFmtId="0" databaseField="0">
      <fieldGroup base="1">
        <rangePr groupBy="quarters" startDate="2022-12-01T00:00:00" endDate="2024-01-01T00:00:00"/>
        <groupItems count="6">
          <s v="&lt;01/12/2022"/>
          <s v="Qtr1"/>
          <s v="Qtr2"/>
          <s v="Qtr3"/>
          <s v="Qtr4"/>
          <s v="&gt;01/01/2024"/>
        </groupItems>
      </fieldGroup>
    </cacheField>
    <cacheField name="Years (Finish)" numFmtId="0" databaseField="0">
      <fieldGroup base="1">
        <rangePr groupBy="years" startDate="2022-12-01T00:00:00" endDate="2024-01-01T00:00:00"/>
        <groupItems count="5">
          <s v="&lt;01/12/2022"/>
          <s v="2022"/>
          <s v="2023"/>
          <s v="2024"/>
          <s v="&gt;01/01/2024"/>
        </groupItems>
      </fieldGroup>
    </cacheField>
    <cacheField name="Months (Start)" numFmtId="0" databaseField="0">
      <fieldGroup base="0">
        <rangePr groupBy="months" startDate="2022-12-01T00:00:00" endDate="2023-12-02T00:00:00"/>
        <groupItems count="14">
          <s v="&lt;01/12/2022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02/12/2023"/>
        </groupItems>
      </fieldGroup>
    </cacheField>
    <cacheField name="Quarters (Start)" numFmtId="0" databaseField="0">
      <fieldGroup base="0">
        <rangePr groupBy="quarters" startDate="2022-12-01T00:00:00" endDate="2023-12-02T00:00:00"/>
        <groupItems count="6">
          <s v="&lt;01/12/2022"/>
          <s v="Qtr1"/>
          <s v="Qtr2"/>
          <s v="Qtr3"/>
          <s v="Qtr4"/>
          <s v="&gt;02/12/2023"/>
        </groupItems>
      </fieldGroup>
    </cacheField>
    <cacheField name="Years (Start)" numFmtId="0" databaseField="0">
      <fieldGroup base="0">
        <rangePr groupBy="years" startDate="2022-12-01T00:00:00" endDate="2023-12-02T00:00:00"/>
        <groupItems count="4">
          <s v="&lt;01/12/2022"/>
          <s v="2022"/>
          <s v="2023"/>
          <s v="&gt;02/12/20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8">
  <r>
    <x v="0"/>
    <x v="0"/>
    <x v="0"/>
    <m/>
    <m/>
    <x v="0"/>
    <m/>
    <m/>
    <m/>
    <m/>
    <m/>
    <m/>
    <m/>
    <m/>
    <m/>
    <m/>
    <m/>
    <m/>
    <m/>
    <m/>
    <m/>
    <m/>
    <m/>
    <m/>
    <m/>
    <m/>
  </r>
  <r>
    <x v="0"/>
    <x v="0"/>
    <x v="0"/>
    <m/>
    <m/>
    <x v="0"/>
    <m/>
    <m/>
    <m/>
    <m/>
    <m/>
    <m/>
    <m/>
    <m/>
    <m/>
    <m/>
    <m/>
    <m/>
    <m/>
    <m/>
    <m/>
    <m/>
    <m/>
    <m/>
    <m/>
    <m/>
  </r>
  <r>
    <x v="0"/>
    <x v="0"/>
    <x v="0"/>
    <m/>
    <m/>
    <x v="0"/>
    <m/>
    <m/>
    <m/>
    <m/>
    <m/>
    <m/>
    <m/>
    <m/>
    <n v="0"/>
    <n v="0"/>
    <n v="1"/>
    <n v="0"/>
    <m/>
    <m/>
    <m/>
    <m/>
    <m/>
    <m/>
    <m/>
    <m/>
  </r>
  <r>
    <x v="1"/>
    <x v="1"/>
    <x v="1"/>
    <s v="Funding"/>
    <n v="300"/>
    <x v="1"/>
    <n v="1"/>
    <n v="0"/>
    <n v="-1"/>
    <n v="0"/>
    <n v="0"/>
    <n v="0.8"/>
    <m/>
    <m/>
    <n v="0"/>
    <n v="0"/>
    <n v="1"/>
    <n v="0"/>
    <n v="300"/>
    <n v="-300"/>
    <n v="0"/>
    <n v="300"/>
    <n v="240"/>
    <n v="10"/>
    <n v="24"/>
    <n v="300"/>
  </r>
  <r>
    <x v="1"/>
    <x v="1"/>
    <x v="2"/>
    <s v="Equipment"/>
    <n v="-250"/>
    <x v="2"/>
    <n v="1"/>
    <n v="0"/>
    <n v="0"/>
    <n v="1"/>
    <n v="0"/>
    <n v="0"/>
    <m/>
    <m/>
    <n v="0"/>
    <n v="0"/>
    <n v="1"/>
    <n v="0"/>
    <n v="-250"/>
    <n v="0"/>
    <n v="-250"/>
    <n v="50"/>
    <n v="0"/>
    <n v="10"/>
    <n v="0"/>
    <n v="0"/>
  </r>
  <r>
    <x v="1"/>
    <x v="1"/>
    <x v="2"/>
    <s v="Groceries"/>
    <n v="-50"/>
    <x v="2"/>
    <n v="1"/>
    <n v="0"/>
    <n v="0"/>
    <n v="1"/>
    <n v="0"/>
    <n v="0"/>
    <m/>
    <m/>
    <n v="0"/>
    <n v="0"/>
    <n v="1"/>
    <n v="0"/>
    <n v="-50"/>
    <n v="0"/>
    <n v="-50"/>
    <n v="0"/>
    <n v="0"/>
    <n v="10"/>
    <n v="0"/>
    <n v="0"/>
  </r>
  <r>
    <x v="1"/>
    <x v="1"/>
    <x v="3"/>
    <s v="Work"/>
    <m/>
    <x v="2"/>
    <n v="0.33333333333333331"/>
    <n v="0.33333333333333331"/>
    <n v="0.33333333333333343"/>
    <n v="1"/>
    <n v="0"/>
    <n v="0.53333333333333344"/>
    <m/>
    <m/>
    <n v="0"/>
    <n v="0"/>
    <n v="1"/>
    <n v="0"/>
    <n v="0"/>
    <n v="0"/>
    <n v="0"/>
    <n v="0"/>
    <n v="0"/>
    <n v="10"/>
    <n v="0"/>
    <n v="0"/>
  </r>
  <r>
    <x v="1"/>
    <x v="2"/>
    <x v="0"/>
    <s v="Flex resolution"/>
    <n v="0"/>
    <x v="3"/>
    <n v="0"/>
    <n v="0"/>
    <n v="-300"/>
    <n v="-300"/>
    <n v="0"/>
    <m/>
    <n v="0"/>
    <n v="0"/>
    <n v="0"/>
    <n v="0"/>
    <n v="1"/>
    <n v="0"/>
    <n v="0"/>
    <n v="-300"/>
    <n v="-300"/>
    <n v="0"/>
    <n v="0"/>
    <n v="10"/>
    <n v="0"/>
    <n v="300"/>
  </r>
  <r>
    <x v="2"/>
    <x v="3"/>
    <x v="4"/>
    <s v="Revenues"/>
    <n v="100"/>
    <x v="2"/>
    <n v="1"/>
    <n v="0"/>
    <n v="0"/>
    <n v="1"/>
    <n v="0"/>
    <n v="0"/>
    <m/>
    <m/>
    <n v="0"/>
    <n v="0"/>
    <n v="1"/>
    <n v="0"/>
    <n v="100"/>
    <n v="0"/>
    <n v="100"/>
    <m/>
    <n v="0"/>
    <n v="10.191194255797845"/>
    <n v="0"/>
    <n v="0"/>
  </r>
  <r>
    <x v="2"/>
    <x v="3"/>
    <x v="5"/>
    <s v="Rent"/>
    <n v="-40"/>
    <x v="2"/>
    <n v="0.75"/>
    <n v="0.25"/>
    <n v="0"/>
    <n v="1"/>
    <n v="0"/>
    <n v="0.2"/>
    <m/>
    <m/>
    <n v="0"/>
    <n v="0"/>
    <n v="1"/>
    <n v="-10"/>
    <n v="-30"/>
    <n v="-10"/>
    <n v="-40"/>
    <m/>
    <n v="8"/>
    <n v="10.191194255797845"/>
    <n v="0.7849914150590096"/>
    <n v="10"/>
  </r>
  <r>
    <x v="2"/>
    <x v="3"/>
    <x v="2"/>
    <s v="Groceries"/>
    <n v="-10"/>
    <x v="2"/>
    <n v="1"/>
    <n v="0"/>
    <n v="0"/>
    <n v="1"/>
    <n v="0"/>
    <n v="0"/>
    <m/>
    <m/>
    <n v="0"/>
    <n v="0"/>
    <n v="1"/>
    <n v="0"/>
    <n v="-10"/>
    <n v="0"/>
    <n v="-10"/>
    <m/>
    <n v="0"/>
    <n v="10.191194255797845"/>
    <n v="0"/>
    <n v="0"/>
  </r>
  <r>
    <x v="2"/>
    <x v="3"/>
    <x v="3"/>
    <s v="Work"/>
    <n v="-75"/>
    <x v="2"/>
    <n v="0.33333333333333331"/>
    <n v="0.33333333333333331"/>
    <n v="0.33333333333333343"/>
    <n v="1"/>
    <n v="0"/>
    <n v="0.53333333333333344"/>
    <m/>
    <m/>
    <n v="0"/>
    <n v="0"/>
    <n v="1"/>
    <n v="-25"/>
    <n v="-25"/>
    <n v="-50"/>
    <n v="-75"/>
    <m/>
    <n v="40.000000000000007"/>
    <n v="10.191194255797845"/>
    <n v="3.9249570752950484"/>
    <n v="50"/>
  </r>
  <r>
    <x v="2"/>
    <x v="3"/>
    <x v="0"/>
    <s v="Flex resolution"/>
    <n v="-25"/>
    <x v="3"/>
    <n v="35"/>
    <n v="-35"/>
    <n v="-25.000000000000007"/>
    <n v="-25.000000000000007"/>
    <n v="0"/>
    <m/>
    <n v="35"/>
    <n v="35"/>
    <n v="0"/>
    <n v="0"/>
    <n v="1"/>
    <n v="-35"/>
    <n v="35"/>
    <n v="-60"/>
    <n v="-25"/>
    <n v="35"/>
    <n v="0"/>
    <n v="10.191194255797845"/>
    <n v="0"/>
    <n v="60"/>
  </r>
  <r>
    <x v="3"/>
    <x v="4"/>
    <x v="4"/>
    <s v="Revenues"/>
    <n v="110"/>
    <x v="2"/>
    <n v="1"/>
    <n v="0"/>
    <n v="0"/>
    <n v="1"/>
    <n v="0"/>
    <n v="0"/>
    <m/>
    <m/>
    <n v="0"/>
    <n v="0"/>
    <n v="1"/>
    <n v="0"/>
    <n v="110"/>
    <n v="0"/>
    <n v="110"/>
    <m/>
    <n v="0"/>
    <n v="10.386044035940698"/>
    <n v="0"/>
    <n v="0"/>
  </r>
  <r>
    <x v="3"/>
    <x v="4"/>
    <x v="5"/>
    <s v="Rent"/>
    <n v="-40"/>
    <x v="2"/>
    <n v="0.75"/>
    <n v="0.25"/>
    <n v="0"/>
    <n v="1"/>
    <n v="0"/>
    <n v="0.2"/>
    <m/>
    <m/>
    <n v="0"/>
    <n v="0"/>
    <n v="1"/>
    <n v="-10"/>
    <n v="-30"/>
    <n v="-10"/>
    <n v="-40"/>
    <m/>
    <n v="8"/>
    <n v="10.386044035940698"/>
    <n v="0.7702644021454329"/>
    <n v="10"/>
  </r>
  <r>
    <x v="3"/>
    <x v="4"/>
    <x v="2"/>
    <s v="Groceries"/>
    <n v="-11"/>
    <x v="2"/>
    <n v="1"/>
    <n v="0"/>
    <n v="0"/>
    <n v="1"/>
    <n v="0"/>
    <n v="0"/>
    <m/>
    <m/>
    <n v="0"/>
    <n v="0"/>
    <n v="1"/>
    <n v="0"/>
    <n v="-11"/>
    <n v="0"/>
    <n v="-11"/>
    <m/>
    <n v="0"/>
    <n v="10.386044035940698"/>
    <n v="0"/>
    <n v="0"/>
  </r>
  <r>
    <x v="3"/>
    <x v="4"/>
    <x v="3"/>
    <s v="Work"/>
    <n v="-75"/>
    <x v="2"/>
    <n v="0.33333333333333331"/>
    <n v="0.33333333333333331"/>
    <n v="0.33333333333333343"/>
    <n v="1"/>
    <n v="0"/>
    <n v="0.53333333333333344"/>
    <m/>
    <m/>
    <n v="0"/>
    <n v="0"/>
    <n v="1"/>
    <n v="-25"/>
    <n v="-25"/>
    <n v="-50"/>
    <n v="-75"/>
    <m/>
    <n v="40.000000000000007"/>
    <n v="10.386044035940698"/>
    <n v="3.8513220107271651"/>
    <n v="50"/>
  </r>
  <r>
    <x v="3"/>
    <x v="4"/>
    <x v="0"/>
    <s v="Flex resolution"/>
    <n v="-16"/>
    <x v="3"/>
    <n v="44"/>
    <n v="-35"/>
    <n v="-25.000000000000007"/>
    <n v="-16.000000000000007"/>
    <n v="0"/>
    <m/>
    <n v="79"/>
    <n v="79"/>
    <n v="0"/>
    <n v="0"/>
    <n v="1"/>
    <n v="-35"/>
    <n v="44"/>
    <n v="-60"/>
    <n v="-16"/>
    <n v="79"/>
    <n v="0"/>
    <n v="10.386044035940698"/>
    <n v="0"/>
    <n v="60"/>
  </r>
  <r>
    <x v="4"/>
    <x v="5"/>
    <x v="4"/>
    <s v="Revenues"/>
    <n v="120"/>
    <x v="2"/>
    <n v="1"/>
    <n v="0"/>
    <n v="0"/>
    <n v="1"/>
    <n v="0.21768707482993196"/>
    <n v="0"/>
    <m/>
    <m/>
    <n v="0"/>
    <n v="0.91428571428571426"/>
    <n v="8.5714285714285743E-2"/>
    <n v="0"/>
    <n v="120"/>
    <n v="0"/>
    <n v="120"/>
    <m/>
    <n v="0"/>
    <n v="10.565237495531882"/>
    <n v="0"/>
    <n v="0"/>
  </r>
  <r>
    <x v="4"/>
    <x v="5"/>
    <x v="5"/>
    <s v="Rent"/>
    <n v="-40"/>
    <x v="2"/>
    <n v="0.75"/>
    <n v="0.25"/>
    <n v="0"/>
    <n v="1"/>
    <n v="0.21768707482993196"/>
    <n v="0.16734693877551021"/>
    <m/>
    <m/>
    <n v="0"/>
    <n v="0.91428571428571426"/>
    <n v="8.5714285714285743E-2"/>
    <n v="-0.85714285714285743"/>
    <n v="-39.142857142857139"/>
    <n v="-0.8571428571428612"/>
    <n v="-40"/>
    <m/>
    <n v="6.6938775510204085"/>
    <n v="10.565237495531882"/>
    <n v="0.63357568193344438"/>
    <n v="0.8571428571428612"/>
  </r>
  <r>
    <x v="4"/>
    <x v="5"/>
    <x v="2"/>
    <s v="Groceries"/>
    <n v="-12"/>
    <x v="2"/>
    <n v="1"/>
    <n v="0"/>
    <n v="0"/>
    <n v="1"/>
    <n v="0.21768707482993196"/>
    <n v="0"/>
    <m/>
    <m/>
    <n v="0"/>
    <n v="0.91428571428571426"/>
    <n v="8.5714285714285743E-2"/>
    <n v="0"/>
    <n v="-12"/>
    <n v="0"/>
    <n v="-12"/>
    <m/>
    <n v="0"/>
    <n v="10.565237495531882"/>
    <n v="0"/>
    <n v="0"/>
  </r>
  <r>
    <x v="4"/>
    <x v="5"/>
    <x v="3"/>
    <s v="Work"/>
    <n v="-75"/>
    <x v="2"/>
    <n v="0.33333333333333331"/>
    <n v="0.33333333333333331"/>
    <n v="0.33333333333333343"/>
    <n v="1"/>
    <n v="0.21768707482993196"/>
    <n v="0.48979591836734704"/>
    <m/>
    <m/>
    <n v="0"/>
    <n v="0.91428571428571426"/>
    <n v="8.5714285714285743E-2"/>
    <n v="-2.1428571428571437"/>
    <n v="-47.857142857142854"/>
    <n v="-27.142857142857146"/>
    <n v="-75"/>
    <m/>
    <n v="36.734693877551031"/>
    <n v="10.565237495531882"/>
    <n v="3.4769397179274395"/>
    <n v="27.142857142857146"/>
  </r>
  <r>
    <x v="4"/>
    <x v="5"/>
    <x v="0"/>
    <s v="Flex resolution"/>
    <n v="-7"/>
    <x v="3"/>
    <n v="53"/>
    <n v="-35"/>
    <n v="-25.000000000000007"/>
    <n v="-7.0000000000000071"/>
    <n v="0.21768707482993196"/>
    <m/>
    <n v="132"/>
    <n v="100"/>
    <n v="32"/>
    <n v="0.91428571428571426"/>
    <n v="8.5714285714285743E-2"/>
    <n v="-3.0000000000000009"/>
    <n v="21.000000000000007"/>
    <n v="-28.000000000000007"/>
    <n v="-7"/>
    <n v="100"/>
    <n v="0"/>
    <n v="10.565237495531882"/>
    <n v="0"/>
    <n v="28.000000000000007"/>
  </r>
  <r>
    <x v="5"/>
    <x v="6"/>
    <x v="4"/>
    <s v="Revenues"/>
    <n v="130"/>
    <x v="2"/>
    <n v="1"/>
    <n v="0"/>
    <n v="0"/>
    <n v="1"/>
    <n v="0.3681318681318681"/>
    <n v="0"/>
    <m/>
    <m/>
    <n v="0"/>
    <n v="1"/>
    <n v="0"/>
    <n v="0"/>
    <n v="130"/>
    <n v="0"/>
    <n v="130"/>
    <m/>
    <n v="0"/>
    <n v="10.767238767560453"/>
    <n v="0"/>
    <n v="0"/>
  </r>
  <r>
    <x v="5"/>
    <x v="6"/>
    <x v="5"/>
    <s v="Rent"/>
    <n v="-40"/>
    <x v="2"/>
    <n v="0.75"/>
    <n v="0.25"/>
    <n v="0"/>
    <n v="1"/>
    <n v="0.3681318681318681"/>
    <n v="0.14478021978021979"/>
    <m/>
    <m/>
    <n v="0"/>
    <n v="1"/>
    <n v="0"/>
    <n v="0"/>
    <n v="-40"/>
    <n v="0"/>
    <n v="-40"/>
    <m/>
    <n v="5.791208791208792"/>
    <n v="10.767238767560453"/>
    <n v="0.53785458985608747"/>
    <n v="0"/>
  </r>
  <r>
    <x v="5"/>
    <x v="6"/>
    <x v="2"/>
    <s v="Groceries"/>
    <n v="-13"/>
    <x v="2"/>
    <n v="1"/>
    <n v="0"/>
    <n v="0"/>
    <n v="1"/>
    <n v="0.3681318681318681"/>
    <n v="0"/>
    <m/>
    <m/>
    <n v="0"/>
    <n v="1"/>
    <n v="0"/>
    <n v="0"/>
    <n v="-13"/>
    <n v="0"/>
    <n v="-13"/>
    <m/>
    <n v="0"/>
    <n v="10.767238767560453"/>
    <n v="0"/>
    <n v="0"/>
  </r>
  <r>
    <x v="5"/>
    <x v="6"/>
    <x v="3"/>
    <s v="Work"/>
    <n v="-75"/>
    <x v="2"/>
    <n v="0.33333333333333331"/>
    <n v="0.33333333333333331"/>
    <n v="0.33333333333333343"/>
    <n v="1"/>
    <n v="0.3681318681318681"/>
    <n v="0.45970695970695985"/>
    <m/>
    <m/>
    <n v="0"/>
    <n v="1"/>
    <n v="0"/>
    <n v="0"/>
    <n v="-50"/>
    <n v="-25"/>
    <n v="-75"/>
    <m/>
    <n v="34.478021978021985"/>
    <n v="10.767238767560453"/>
    <n v="3.2021229139914125"/>
    <n v="25"/>
  </r>
  <r>
    <x v="5"/>
    <x v="6"/>
    <x v="0"/>
    <s v="Flex resolution"/>
    <n v="2"/>
    <x v="3"/>
    <n v="62"/>
    <n v="-35"/>
    <n v="-25.000000000000007"/>
    <n v="1.9999999999999929"/>
    <n v="0.3681318681318681"/>
    <m/>
    <n v="162"/>
    <n v="100"/>
    <n v="62"/>
    <n v="1"/>
    <n v="0"/>
    <n v="0"/>
    <n v="27"/>
    <n v="-25"/>
    <n v="2"/>
    <n v="127"/>
    <n v="0"/>
    <n v="10.767238767560453"/>
    <n v="0"/>
    <n v="25"/>
  </r>
  <r>
    <x v="6"/>
    <x v="7"/>
    <x v="4"/>
    <s v="Revenues"/>
    <n v="140"/>
    <x v="2"/>
    <n v="1"/>
    <n v="0"/>
    <n v="0"/>
    <n v="1"/>
    <n v="0.47004608294930877"/>
    <n v="0"/>
    <m/>
    <m/>
    <n v="0"/>
    <n v="1"/>
    <n v="0"/>
    <n v="0"/>
    <n v="140"/>
    <n v="0"/>
    <n v="140"/>
    <m/>
    <n v="0"/>
    <n v="10.96640039681767"/>
    <n v="0"/>
    <n v="0"/>
  </r>
  <r>
    <x v="6"/>
    <x v="7"/>
    <x v="5"/>
    <s v="Rent"/>
    <n v="-40"/>
    <x v="2"/>
    <n v="0.75"/>
    <n v="0.25"/>
    <n v="0"/>
    <n v="1"/>
    <n v="0.47004608294930877"/>
    <n v="0.12949308755760369"/>
    <m/>
    <m/>
    <n v="0"/>
    <n v="1"/>
    <n v="0"/>
    <n v="0"/>
    <n v="-40"/>
    <n v="0"/>
    <n v="-40"/>
    <m/>
    <n v="5.1797235023041477"/>
    <n v="10.96640039681767"/>
    <n v="0.47232668103266107"/>
    <n v="0"/>
  </r>
  <r>
    <x v="6"/>
    <x v="7"/>
    <x v="2"/>
    <s v="Groceries"/>
    <n v="-14"/>
    <x v="2"/>
    <n v="1"/>
    <n v="0"/>
    <n v="0"/>
    <n v="1"/>
    <n v="0.47004608294930877"/>
    <n v="0"/>
    <m/>
    <m/>
    <n v="0"/>
    <n v="1"/>
    <n v="0"/>
    <n v="0"/>
    <n v="-14"/>
    <n v="0"/>
    <n v="-14"/>
    <m/>
    <n v="0"/>
    <n v="10.96640039681767"/>
    <n v="0"/>
    <n v="0"/>
  </r>
  <r>
    <x v="6"/>
    <x v="7"/>
    <x v="3"/>
    <s v="Work"/>
    <n v="-75"/>
    <x v="2"/>
    <n v="0.33333333333333331"/>
    <n v="0.33333333333333331"/>
    <n v="0.33333333333333343"/>
    <n v="1"/>
    <n v="0.47004608294930877"/>
    <n v="0.43932411674347172"/>
    <m/>
    <m/>
    <n v="0"/>
    <n v="1"/>
    <n v="0"/>
    <n v="0"/>
    <n v="-50"/>
    <n v="-25"/>
    <n v="-75"/>
    <m/>
    <n v="32.949308755760377"/>
    <n v="10.96640039681767"/>
    <n v="3.004569189842996"/>
    <n v="25"/>
  </r>
  <r>
    <x v="6"/>
    <x v="7"/>
    <x v="0"/>
    <s v="Flex resolution"/>
    <n v="11"/>
    <x v="3"/>
    <n v="71"/>
    <n v="-35"/>
    <n v="-25.000000000000007"/>
    <n v="10.999999999999993"/>
    <n v="0.47004608294930877"/>
    <m/>
    <n v="198"/>
    <n v="100"/>
    <n v="98"/>
    <n v="1"/>
    <n v="0"/>
    <n v="0"/>
    <n v="36"/>
    <n v="-25"/>
    <n v="11"/>
    <n v="163"/>
    <n v="0"/>
    <n v="10.96640039681767"/>
    <n v="0"/>
    <n v="25"/>
  </r>
  <r>
    <x v="7"/>
    <x v="8"/>
    <x v="4"/>
    <s v="Revenues"/>
    <n v="150"/>
    <x v="2"/>
    <n v="1"/>
    <n v="0"/>
    <n v="0"/>
    <n v="1"/>
    <n v="0.54365079365079361"/>
    <n v="0"/>
    <m/>
    <m/>
    <n v="0"/>
    <n v="1"/>
    <n v="0"/>
    <n v="0"/>
    <n v="150"/>
    <n v="0"/>
    <n v="150"/>
    <m/>
    <n v="0"/>
    <n v="11.176071673082745"/>
    <n v="0"/>
    <n v="0"/>
  </r>
  <r>
    <x v="7"/>
    <x v="8"/>
    <x v="5"/>
    <s v="Rent"/>
    <n v="-40"/>
    <x v="2"/>
    <n v="0.75"/>
    <n v="0.25"/>
    <n v="0"/>
    <n v="1"/>
    <n v="0.54365079365079361"/>
    <n v="0.11845238095238098"/>
    <m/>
    <m/>
    <n v="0"/>
    <n v="1"/>
    <n v="0"/>
    <n v="0"/>
    <n v="-40"/>
    <n v="0"/>
    <n v="-40"/>
    <m/>
    <n v="4.738095238095239"/>
    <n v="11.176071673082745"/>
    <n v="0.42394996888815667"/>
    <n v="0"/>
  </r>
  <r>
    <x v="7"/>
    <x v="8"/>
    <x v="2"/>
    <s v="Groceries"/>
    <n v="-15"/>
    <x v="2"/>
    <n v="1"/>
    <n v="0"/>
    <n v="0"/>
    <n v="1"/>
    <n v="0.54365079365079361"/>
    <n v="0"/>
    <m/>
    <m/>
    <n v="0"/>
    <n v="1"/>
    <n v="0"/>
    <n v="0"/>
    <n v="-15"/>
    <n v="0"/>
    <n v="-15"/>
    <m/>
    <n v="0"/>
    <n v="11.176071673082745"/>
    <n v="0"/>
    <n v="0"/>
  </r>
  <r>
    <x v="7"/>
    <x v="8"/>
    <x v="3"/>
    <s v="Work"/>
    <n v="-75"/>
    <x v="2"/>
    <n v="0.33333333333333331"/>
    <n v="0.33333333333333331"/>
    <n v="0.33333333333333343"/>
    <n v="1"/>
    <n v="0.54365079365079361"/>
    <n v="0.42460317460317476"/>
    <m/>
    <m/>
    <n v="0"/>
    <n v="1"/>
    <n v="0"/>
    <n v="0"/>
    <n v="-50"/>
    <n v="-25"/>
    <n v="-75"/>
    <m/>
    <n v="31.845238095238106"/>
    <n v="11.176071673082745"/>
    <n v="2.8494124793362294"/>
    <n v="25"/>
  </r>
  <r>
    <x v="7"/>
    <x v="8"/>
    <x v="0"/>
    <s v="Flex resolution"/>
    <n v="20"/>
    <x v="3"/>
    <n v="80"/>
    <n v="-35"/>
    <n v="-25.000000000000007"/>
    <n v="19.999999999999993"/>
    <n v="0.54365079365079361"/>
    <m/>
    <n v="243"/>
    <n v="100"/>
    <n v="143"/>
    <n v="1"/>
    <n v="0"/>
    <n v="0"/>
    <n v="45"/>
    <n v="-25"/>
    <n v="20"/>
    <n v="208"/>
    <n v="0"/>
    <n v="11.176071673082745"/>
    <n v="0"/>
    <n v="25"/>
  </r>
  <r>
    <x v="8"/>
    <x v="9"/>
    <x v="4"/>
    <s v="Revenues"/>
    <n v="160"/>
    <x v="2"/>
    <n v="1"/>
    <n v="0"/>
    <n v="0"/>
    <n v="1"/>
    <n v="0.5993031358885017"/>
    <n v="0"/>
    <m/>
    <m/>
    <n v="0"/>
    <n v="1"/>
    <n v="0"/>
    <n v="0"/>
    <n v="160"/>
    <n v="0"/>
    <n v="160"/>
    <m/>
    <n v="0"/>
    <n v="11.382795485116395"/>
    <n v="0"/>
    <n v="0"/>
  </r>
  <r>
    <x v="8"/>
    <x v="9"/>
    <x v="5"/>
    <s v="Rent"/>
    <n v="-40"/>
    <x v="2"/>
    <n v="0.75"/>
    <n v="0.25"/>
    <n v="0"/>
    <n v="1"/>
    <n v="0.5993031358885017"/>
    <n v="0.11010452961672476"/>
    <m/>
    <m/>
    <n v="0"/>
    <n v="1"/>
    <n v="0"/>
    <n v="0"/>
    <n v="-40"/>
    <n v="0"/>
    <n v="-40"/>
    <m/>
    <n v="4.4041811846689907"/>
    <n v="11.382795485116395"/>
    <n v="0.38691560350246912"/>
    <n v="0"/>
  </r>
  <r>
    <x v="8"/>
    <x v="9"/>
    <x v="2"/>
    <s v="Groceries"/>
    <n v="-16"/>
    <x v="2"/>
    <n v="1"/>
    <n v="0"/>
    <n v="0"/>
    <n v="1"/>
    <n v="0.5993031358885017"/>
    <n v="0"/>
    <m/>
    <m/>
    <n v="0"/>
    <n v="1"/>
    <n v="0"/>
    <n v="0"/>
    <n v="-16"/>
    <n v="0"/>
    <n v="-16"/>
    <m/>
    <n v="0"/>
    <n v="11.382795485116395"/>
    <n v="0"/>
    <n v="0"/>
  </r>
  <r>
    <x v="8"/>
    <x v="9"/>
    <x v="3"/>
    <s v="Work"/>
    <n v="-75"/>
    <x v="2"/>
    <n v="0.33333333333333331"/>
    <n v="0.33333333333333331"/>
    <n v="0.33333333333333343"/>
    <n v="1"/>
    <n v="0.5993031358885017"/>
    <n v="0.41347270615563314"/>
    <m/>
    <m/>
    <n v="0"/>
    <n v="1"/>
    <n v="0"/>
    <n v="0"/>
    <n v="-50"/>
    <n v="-25"/>
    <n v="-75"/>
    <m/>
    <n v="31.010452961672485"/>
    <n v="11.382795485116395"/>
    <n v="2.7243266385854237"/>
    <n v="25"/>
  </r>
  <r>
    <x v="8"/>
    <x v="9"/>
    <x v="0"/>
    <s v="Flex resolution"/>
    <n v="29"/>
    <x v="3"/>
    <n v="89"/>
    <n v="-35"/>
    <n v="-25.000000000000007"/>
    <n v="28.999999999999993"/>
    <n v="0.5993031358885017"/>
    <m/>
    <n v="297"/>
    <n v="100"/>
    <n v="197"/>
    <n v="1"/>
    <n v="0"/>
    <n v="0"/>
    <n v="54"/>
    <n v="-25"/>
    <n v="29"/>
    <n v="262"/>
    <n v="0"/>
    <n v="11.382795485116395"/>
    <n v="0"/>
    <n v="25"/>
  </r>
  <r>
    <x v="9"/>
    <x v="10"/>
    <x v="4"/>
    <s v="Revenues"/>
    <n v="170"/>
    <x v="2"/>
    <n v="1"/>
    <n v="0"/>
    <n v="0"/>
    <n v="1"/>
    <n v="0.64285714285714279"/>
    <n v="0"/>
    <m/>
    <m/>
    <n v="0"/>
    <n v="1"/>
    <n v="0"/>
    <n v="0"/>
    <n v="170"/>
    <n v="0"/>
    <n v="170"/>
    <m/>
    <n v="0"/>
    <n v="11.600427996283983"/>
    <n v="0"/>
    <n v="0"/>
  </r>
  <r>
    <x v="9"/>
    <x v="10"/>
    <x v="5"/>
    <s v="Rent"/>
    <n v="-40"/>
    <x v="2"/>
    <n v="0.75"/>
    <n v="0.25"/>
    <n v="0"/>
    <n v="1"/>
    <n v="0.64285714285714279"/>
    <n v="0.10357142857142859"/>
    <m/>
    <m/>
    <n v="0"/>
    <n v="1"/>
    <n v="0"/>
    <n v="0"/>
    <n v="-40"/>
    <n v="0"/>
    <n v="-40"/>
    <m/>
    <n v="4.1428571428571441"/>
    <n v="11.600427996283983"/>
    <n v="0.35712968040353721"/>
    <n v="0"/>
  </r>
  <r>
    <x v="9"/>
    <x v="10"/>
    <x v="2"/>
    <s v="Groceries"/>
    <n v="-17"/>
    <x v="2"/>
    <n v="1"/>
    <n v="0"/>
    <n v="0"/>
    <n v="1"/>
    <n v="0.64285714285714279"/>
    <n v="0"/>
    <m/>
    <m/>
    <n v="0"/>
    <n v="1"/>
    <n v="0"/>
    <n v="0"/>
    <n v="-17"/>
    <n v="0"/>
    <n v="-17"/>
    <m/>
    <n v="0"/>
    <n v="11.600427996283983"/>
    <n v="0"/>
    <n v="0"/>
  </r>
  <r>
    <x v="9"/>
    <x v="10"/>
    <x v="3"/>
    <s v="Work"/>
    <n v="-75"/>
    <x v="2"/>
    <n v="0.33333333333333331"/>
    <n v="0.33333333333333331"/>
    <n v="0.33333333333333343"/>
    <n v="1"/>
    <n v="0.64285714285714279"/>
    <n v="0.40476190476190488"/>
    <m/>
    <m/>
    <n v="0"/>
    <n v="1"/>
    <n v="0"/>
    <n v="0"/>
    <n v="-50"/>
    <n v="-25"/>
    <n v="-75"/>
    <m/>
    <n v="30.357142857142865"/>
    <n v="11.600427996283983"/>
    <n v="2.6168985201983328"/>
    <n v="25"/>
  </r>
  <r>
    <x v="9"/>
    <x v="10"/>
    <x v="0"/>
    <s v="Flex resolution"/>
    <n v="38"/>
    <x v="3"/>
    <n v="98"/>
    <n v="-35"/>
    <n v="-25.000000000000007"/>
    <n v="37.999999999999993"/>
    <n v="0.64285714285714279"/>
    <m/>
    <n v="360"/>
    <n v="100"/>
    <n v="260"/>
    <n v="1"/>
    <n v="0"/>
    <n v="0"/>
    <n v="63"/>
    <n v="-25"/>
    <n v="38"/>
    <n v="325"/>
    <n v="0"/>
    <n v="11.600427996283983"/>
    <n v="0"/>
    <n v="25"/>
  </r>
  <r>
    <x v="10"/>
    <x v="11"/>
    <x v="4"/>
    <s v="Revenues"/>
    <n v="180"/>
    <x v="2"/>
    <n v="1"/>
    <n v="0"/>
    <n v="0"/>
    <n v="1"/>
    <n v="0.67787114845938368"/>
    <n v="0"/>
    <m/>
    <m/>
    <n v="0"/>
    <n v="1"/>
    <n v="0"/>
    <n v="0"/>
    <n v="180"/>
    <n v="0"/>
    <n v="180"/>
    <m/>
    <n v="0"/>
    <n v="11.822221516052585"/>
    <n v="0"/>
    <n v="0"/>
  </r>
  <r>
    <x v="10"/>
    <x v="11"/>
    <x v="5"/>
    <s v="Rent"/>
    <n v="-40"/>
    <x v="2"/>
    <n v="0.75"/>
    <n v="0.25"/>
    <n v="0"/>
    <n v="1"/>
    <n v="0.67787114845938368"/>
    <n v="9.8319327731092448E-2"/>
    <m/>
    <m/>
    <n v="0"/>
    <n v="1"/>
    <n v="0"/>
    <n v="0"/>
    <n v="-40"/>
    <n v="0"/>
    <n v="-40"/>
    <m/>
    <n v="3.9327731092436977"/>
    <n v="11.822221516052585"/>
    <n v="0.33265939941183259"/>
    <n v="0"/>
  </r>
  <r>
    <x v="10"/>
    <x v="11"/>
    <x v="2"/>
    <s v="Groceries"/>
    <n v="-18"/>
    <x v="2"/>
    <n v="1"/>
    <n v="0"/>
    <n v="0"/>
    <n v="1"/>
    <n v="0.67787114845938368"/>
    <n v="0"/>
    <m/>
    <m/>
    <n v="0"/>
    <n v="1"/>
    <n v="0"/>
    <n v="0"/>
    <n v="-18"/>
    <n v="0"/>
    <n v="-18"/>
    <m/>
    <n v="0"/>
    <n v="11.822221516052585"/>
    <n v="0"/>
    <n v="0"/>
  </r>
  <r>
    <x v="10"/>
    <x v="11"/>
    <x v="3"/>
    <s v="Work"/>
    <n v="-75"/>
    <x v="2"/>
    <n v="0.33333333333333331"/>
    <n v="0.33333333333333331"/>
    <n v="0.33333333333333343"/>
    <n v="1"/>
    <n v="0.67787114845938368"/>
    <n v="0.39775910364145672"/>
    <m/>
    <m/>
    <n v="0"/>
    <n v="1"/>
    <n v="0"/>
    <n v="0"/>
    <n v="-50"/>
    <n v="-25"/>
    <n v="-75"/>
    <m/>
    <n v="29.831932773109255"/>
    <n v="11.822221516052585"/>
    <n v="2.5233779228889017"/>
    <n v="25"/>
  </r>
  <r>
    <x v="10"/>
    <x v="11"/>
    <x v="0"/>
    <s v="Flex resolution"/>
    <n v="47"/>
    <x v="3"/>
    <n v="107"/>
    <n v="-35"/>
    <n v="-25.000000000000007"/>
    <n v="46.999999999999993"/>
    <n v="0.67787114845938368"/>
    <m/>
    <n v="432"/>
    <n v="100"/>
    <n v="332"/>
    <n v="1"/>
    <n v="0"/>
    <n v="0"/>
    <n v="72"/>
    <n v="-25"/>
    <n v="47"/>
    <n v="397"/>
    <n v="0"/>
    <n v="11.822221516052585"/>
    <n v="0"/>
    <n v="25"/>
  </r>
  <r>
    <x v="11"/>
    <x v="12"/>
    <x v="4"/>
    <s v="Revenues"/>
    <n v="190"/>
    <x v="2"/>
    <n v="1"/>
    <n v="0"/>
    <n v="0"/>
    <n v="1"/>
    <n v="0.70663265306122447"/>
    <n v="0"/>
    <m/>
    <m/>
    <n v="0"/>
    <n v="1"/>
    <n v="0"/>
    <n v="0"/>
    <n v="190"/>
    <n v="0"/>
    <n v="190"/>
    <m/>
    <n v="0"/>
    <n v="12.040897162558213"/>
    <n v="0"/>
    <n v="0"/>
  </r>
  <r>
    <x v="11"/>
    <x v="12"/>
    <x v="5"/>
    <s v="Rent"/>
    <n v="-40"/>
    <x v="2"/>
    <n v="0.75"/>
    <n v="0.25"/>
    <n v="0"/>
    <n v="1"/>
    <n v="0.70663265306122447"/>
    <n v="9.400510204081633E-2"/>
    <m/>
    <m/>
    <n v="0"/>
    <n v="1"/>
    <n v="0"/>
    <n v="0"/>
    <n v="-40"/>
    <n v="0"/>
    <n v="-40"/>
    <m/>
    <n v="3.7602040816326534"/>
    <n v="12.040897162558213"/>
    <n v="0.31228603906071056"/>
    <n v="0"/>
  </r>
  <r>
    <x v="11"/>
    <x v="12"/>
    <x v="2"/>
    <s v="Groceries"/>
    <n v="-19"/>
    <x v="2"/>
    <n v="1"/>
    <n v="0"/>
    <n v="0"/>
    <n v="1"/>
    <n v="0.70663265306122447"/>
    <n v="0"/>
    <m/>
    <m/>
    <n v="0"/>
    <n v="1"/>
    <n v="0"/>
    <n v="0"/>
    <n v="-19"/>
    <n v="0"/>
    <n v="-19"/>
    <m/>
    <n v="0"/>
    <n v="12.040897162558213"/>
    <n v="0"/>
    <n v="0"/>
  </r>
  <r>
    <x v="11"/>
    <x v="12"/>
    <x v="3"/>
    <s v="Work"/>
    <n v="-75"/>
    <x v="2"/>
    <n v="0.33333333333333331"/>
    <n v="0.33333333333333331"/>
    <n v="0.33333333333333343"/>
    <n v="1"/>
    <n v="0.70663265306122447"/>
    <n v="0.39200680272108857"/>
    <m/>
    <m/>
    <n v="0"/>
    <n v="1"/>
    <n v="0"/>
    <n v="0"/>
    <n v="-50"/>
    <n v="-25"/>
    <n v="-75"/>
    <m/>
    <n v="29.400510204081641"/>
    <n v="12.040897162558213"/>
    <n v="2.4417208956409024"/>
    <n v="25"/>
  </r>
  <r>
    <x v="11"/>
    <x v="12"/>
    <x v="0"/>
    <s v="Flex resolution"/>
    <n v="56"/>
    <x v="3"/>
    <n v="116"/>
    <n v="-35"/>
    <n v="-25.000000000000007"/>
    <n v="55.999999999999993"/>
    <n v="0.70663265306122447"/>
    <m/>
    <n v="513"/>
    <n v="100"/>
    <n v="413"/>
    <n v="1"/>
    <n v="0"/>
    <n v="0"/>
    <n v="81"/>
    <n v="-25"/>
    <n v="56"/>
    <n v="478"/>
    <n v="0"/>
    <n v="12.040897162558213"/>
    <n v="0"/>
    <n v="25"/>
  </r>
  <r>
    <x v="12"/>
    <x v="13"/>
    <x v="4"/>
    <s v="Revenues"/>
    <n v="200"/>
    <x v="2"/>
    <n v="1"/>
    <n v="0"/>
    <n v="0"/>
    <n v="1"/>
    <n v="0.73067915690866503"/>
    <n v="0"/>
    <m/>
    <m/>
    <n v="0"/>
    <n v="1"/>
    <n v="0"/>
    <n v="0"/>
    <n v="200"/>
    <n v="0"/>
    <n v="200"/>
    <m/>
    <n v="0"/>
    <n v="12.271112199771583"/>
    <n v="0"/>
    <n v="0"/>
  </r>
  <r>
    <x v="12"/>
    <x v="13"/>
    <x v="5"/>
    <s v="Rent"/>
    <n v="-40"/>
    <x v="2"/>
    <n v="0.75"/>
    <n v="0.25"/>
    <n v="0"/>
    <n v="1"/>
    <n v="0.73067915690866503"/>
    <n v="9.0398126463700254E-2"/>
    <m/>
    <m/>
    <n v="0"/>
    <n v="1"/>
    <n v="0"/>
    <n v="0"/>
    <n v="-40"/>
    <n v="0"/>
    <n v="-40"/>
    <m/>
    <n v="3.6159250585480103"/>
    <n v="12.271112199771583"/>
    <n v="0.29466970879911913"/>
    <n v="0"/>
  </r>
  <r>
    <x v="12"/>
    <x v="13"/>
    <x v="2"/>
    <s v="Groceries"/>
    <n v="-20"/>
    <x v="2"/>
    <n v="1"/>
    <n v="0"/>
    <n v="0"/>
    <n v="1"/>
    <n v="0.73067915690866503"/>
    <n v="0"/>
    <m/>
    <m/>
    <n v="0"/>
    <n v="1"/>
    <n v="0"/>
    <n v="0"/>
    <n v="-20"/>
    <n v="0"/>
    <n v="-20"/>
    <m/>
    <n v="0"/>
    <n v="12.271112199771583"/>
    <n v="0"/>
    <n v="0"/>
  </r>
  <r>
    <x v="12"/>
    <x v="13"/>
    <x v="3"/>
    <s v="Work"/>
    <n v="-75"/>
    <x v="2"/>
    <n v="0.33333333333333331"/>
    <n v="0.33333333333333331"/>
    <n v="0.33333333333333343"/>
    <n v="1"/>
    <n v="0.73067915690866503"/>
    <n v="0.38719750195160041"/>
    <m/>
    <m/>
    <n v="0"/>
    <n v="1"/>
    <n v="0"/>
    <n v="0"/>
    <n v="-50"/>
    <n v="-25"/>
    <n v="-75"/>
    <m/>
    <n v="29.039812646370031"/>
    <n v="12.271112199771583"/>
    <n v="2.3665183867286768"/>
    <n v="25"/>
  </r>
  <r>
    <x v="12"/>
    <x v="13"/>
    <x v="0"/>
    <s v="Flex resolution"/>
    <n v="65"/>
    <x v="3"/>
    <n v="125"/>
    <n v="-35"/>
    <n v="-25.000000000000007"/>
    <n v="65"/>
    <n v="0.73067915690866503"/>
    <m/>
    <n v="603"/>
    <n v="100"/>
    <n v="503"/>
    <n v="1"/>
    <n v="0"/>
    <n v="0"/>
    <n v="90"/>
    <n v="-25"/>
    <n v="65"/>
    <n v="568"/>
    <n v="0"/>
    <n v="12.271112199771583"/>
    <n v="0"/>
    <n v="25"/>
  </r>
  <r>
    <x v="13"/>
    <x v="14"/>
    <x v="4"/>
    <s v="Revenues"/>
    <n v="210"/>
    <x v="2"/>
    <n v="1"/>
    <n v="0"/>
    <n v="0"/>
    <n v="1"/>
    <n v="0.75108225108225102"/>
    <n v="0"/>
    <m/>
    <m/>
    <n v="0"/>
    <n v="1"/>
    <n v="0"/>
    <n v="0"/>
    <n v="210"/>
    <n v="0"/>
    <n v="210"/>
    <m/>
    <n v="0"/>
    <n v="12.498090977828191"/>
    <n v="0"/>
    <n v="0"/>
  </r>
  <r>
    <x v="13"/>
    <x v="14"/>
    <x v="5"/>
    <s v="Rent"/>
    <n v="-40"/>
    <x v="2"/>
    <n v="0.75"/>
    <n v="0.25"/>
    <n v="0"/>
    <n v="1"/>
    <n v="0.75108225108225102"/>
    <n v="8.7337662337662353E-2"/>
    <m/>
    <m/>
    <n v="0"/>
    <n v="1"/>
    <n v="0"/>
    <n v="0"/>
    <n v="-40"/>
    <n v="0"/>
    <n v="-40"/>
    <m/>
    <n v="3.4935064935064943"/>
    <n v="12.498090977828191"/>
    <n v="0.27952320876076431"/>
    <n v="0"/>
  </r>
  <r>
    <x v="13"/>
    <x v="14"/>
    <x v="2"/>
    <s v="Groceries"/>
    <n v="-21"/>
    <x v="2"/>
    <n v="1"/>
    <n v="0"/>
    <n v="0"/>
    <n v="1"/>
    <n v="0.75108225108225102"/>
    <n v="0"/>
    <m/>
    <m/>
    <n v="0"/>
    <n v="1"/>
    <n v="0"/>
    <n v="0"/>
    <n v="-21"/>
    <n v="0"/>
    <n v="-21"/>
    <m/>
    <n v="0"/>
    <n v="12.498090977828191"/>
    <n v="0"/>
    <n v="0"/>
  </r>
  <r>
    <x v="13"/>
    <x v="14"/>
    <x v="3"/>
    <s v="Work"/>
    <n v="-75"/>
    <x v="2"/>
    <n v="0.33333333333333331"/>
    <n v="0.33333333333333331"/>
    <n v="0.33333333333333343"/>
    <n v="1"/>
    <n v="0.75108225108225102"/>
    <n v="0.38311688311688324"/>
    <m/>
    <m/>
    <n v="0"/>
    <n v="1"/>
    <n v="0"/>
    <n v="0"/>
    <n v="-50"/>
    <n v="-25"/>
    <n v="-75"/>
    <m/>
    <n v="28.733766233766243"/>
    <n v="12.498090977828191"/>
    <n v="2.2990524140639073"/>
    <n v="25"/>
  </r>
  <r>
    <x v="13"/>
    <x v="14"/>
    <x v="0"/>
    <s v="Flex resolution"/>
    <n v="74"/>
    <x v="3"/>
    <n v="134"/>
    <n v="-35"/>
    <n v="-25.000000000000007"/>
    <n v="74"/>
    <n v="0.75108225108225102"/>
    <m/>
    <n v="702"/>
    <n v="100"/>
    <n v="602"/>
    <n v="1"/>
    <n v="0"/>
    <n v="0"/>
    <n v="99"/>
    <n v="-25"/>
    <n v="74"/>
    <n v="667"/>
    <n v="0"/>
    <n v="12.498090977828191"/>
    <n v="0"/>
    <n v="2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5715ED5-D2BF-463C-B3A8-783D6787375A}" name="PivotTable1" cacheId="0" applyNumberFormats="0" applyBorderFormats="0" applyFontFormats="0" applyPatternFormats="0" applyAlignmentFormats="0" applyWidthHeightFormats="1" dataCaption="Values" updatedVersion="8" minRefreshableVersion="3" itemPrintTitles="1" createdVersion="8" indent="0" outline="1" outlineData="1" multipleFieldFilters="0" rowHeaderCaption="Amount, € ">
  <location ref="C9:Q17" firstHeaderRow="1" firstDataRow="3" firstDataCol="1"/>
  <pivotFields count="33">
    <pivotField showAll="0" defaultSubtotal="0">
      <items count="14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0"/>
      </items>
    </pivotField>
    <pivotField showAll="0" defaultSubtotal="0">
      <items count="15"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0"/>
        <item x="1"/>
        <item x="2"/>
      </items>
    </pivotField>
    <pivotField axis="axisRow" showAll="0" defaultSubtotal="0">
      <items count="6">
        <item x="1"/>
        <item x="4"/>
        <item x="2"/>
        <item x="5"/>
        <item h="1" x="0"/>
        <item x="3"/>
      </items>
    </pivotField>
    <pivotField showAll="0" defaultSubtotal="0"/>
    <pivotField dataField="1" showAll="0" defaultSubtotal="0"/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dragToRow="0" dragToCol="0" dragToPage="0" showAll="0" defaultSubtotal="0"/>
    <pivotField showAll="0" defaultSubtotal="0">
      <items count="14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</items>
    </pivotField>
    <pivotField showAll="0" defaultSubtotal="0">
      <items count="6">
        <item sd="0" x="1"/>
        <item sd="0" x="2"/>
        <item sd="0" x="3"/>
        <item sd="0" x="4"/>
        <item x="0"/>
        <item x="5"/>
      </items>
    </pivotField>
    <pivotField showAll="0" defaultSubtotal="0">
      <items count="5">
        <item sd="0" x="2"/>
        <item sd="0" x="3"/>
        <item x="0"/>
        <item x="1"/>
        <item x="4"/>
      </items>
    </pivotField>
    <pivotField axis="axisCol" showAll="0" defaultSubtotal="0">
      <items count="14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</items>
    </pivotField>
    <pivotField showAll="0" defaultSubtotal="0">
      <items count="6">
        <item sd="0" x="0"/>
        <item sd="0" x="1"/>
        <item sd="0" x="2"/>
        <item sd="0" x="3"/>
        <item sd="0" x="4"/>
        <item x="5"/>
      </items>
    </pivotField>
    <pivotField axis="axisCol" showAll="0" defaultSubtotal="0">
      <items count="4">
        <item sd="0" x="0"/>
        <item x="1"/>
        <item x="2"/>
        <item x="3"/>
      </items>
    </pivotField>
  </pivotFields>
  <rowFields count="1">
    <field x="2"/>
  </rowFields>
  <rowItems count="6">
    <i>
      <x/>
    </i>
    <i>
      <x v="1"/>
    </i>
    <i>
      <x v="2"/>
    </i>
    <i>
      <x v="3"/>
    </i>
    <i>
      <x v="5"/>
    </i>
    <i t="grand">
      <x/>
    </i>
  </rowItems>
  <colFields count="2">
    <field x="32"/>
    <field x="30"/>
  </colFields>
  <colItems count="14">
    <i>
      <x v="1"/>
      <x v="12"/>
    </i>
    <i>
      <x v="2"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t="grand">
      <x/>
    </i>
  </colItems>
  <dataFields count="1">
    <dataField name="Amount, € " fld="4" baseField="0" baseItem="0" numFmtId="167"/>
  </dataFields>
  <formats count="113">
    <format dxfId="249">
      <pivotArea dataOnly="0" grandCol="1" outline="0" fieldPosition="0"/>
    </format>
    <format dxfId="248">
      <pivotArea dataOnly="0" outline="0" fieldPosition="0">
        <references count="1">
          <reference field="32" count="1">
            <x v="1"/>
          </reference>
        </references>
      </pivotArea>
    </format>
    <format dxfId="247">
      <pivotArea dataOnly="0" labelOnly="1" fieldPosition="0">
        <references count="2">
          <reference field="30" count="1">
            <x v="12"/>
          </reference>
          <reference field="32" count="1" selected="0">
            <x v="1"/>
          </reference>
        </references>
      </pivotArea>
    </format>
    <format dxfId="246">
      <pivotArea outline="0" collapsedLevelsAreSubtotals="1" fieldPosition="0"/>
    </format>
    <format dxfId="245">
      <pivotArea dataOnly="0" labelOnly="1" grandCol="1" outline="0" fieldPosition="0"/>
    </format>
    <format dxfId="244">
      <pivotArea dataOnly="0" labelOnly="1" fieldPosition="0">
        <references count="2">
          <reference field="30" count="1">
            <x v="12"/>
          </reference>
          <reference field="32" count="1" selected="0">
            <x v="1"/>
          </reference>
        </references>
      </pivotArea>
    </format>
    <format dxfId="243">
      <pivotArea dataOnly="0" labelOnly="1" fieldPosition="0">
        <references count="2">
          <reference field="30" count="1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32" count="1" selected="0">
            <x v="2"/>
          </reference>
        </references>
      </pivotArea>
    </format>
    <format dxfId="242">
      <pivotArea outline="0" collapsedLevelsAreSubtotals="1" fieldPosition="0"/>
    </format>
    <format dxfId="241">
      <pivotArea field="32" type="button" dataOnly="0" labelOnly="1" outline="0" axis="axisCol" fieldPosition="0"/>
    </format>
    <format dxfId="240">
      <pivotArea field="30" type="button" dataOnly="0" labelOnly="1" outline="0" axis="axisCol" fieldPosition="1"/>
    </format>
    <format dxfId="239">
      <pivotArea type="topRight" dataOnly="0" labelOnly="1" outline="0" fieldPosition="0"/>
    </format>
    <format dxfId="238">
      <pivotArea dataOnly="0" labelOnly="1" fieldPosition="0">
        <references count="1">
          <reference field="32" count="2">
            <x v="1"/>
            <x v="2"/>
          </reference>
        </references>
      </pivotArea>
    </format>
    <format dxfId="237">
      <pivotArea dataOnly="0" labelOnly="1" grandCol="1" outline="0" fieldPosition="0"/>
    </format>
    <format dxfId="236">
      <pivotArea dataOnly="0" labelOnly="1" fieldPosition="0">
        <references count="2">
          <reference field="30" count="1">
            <x v="12"/>
          </reference>
          <reference field="32" count="1" selected="0">
            <x v="1"/>
          </reference>
        </references>
      </pivotArea>
    </format>
    <format dxfId="235">
      <pivotArea dataOnly="0" labelOnly="1" fieldPosition="0">
        <references count="2">
          <reference field="30" count="1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32" count="1" selected="0">
            <x v="2"/>
          </reference>
        </references>
      </pivotArea>
    </format>
    <format dxfId="234">
      <pivotArea outline="0" collapsedLevelsAreSubtotals="1" fieldPosition="0"/>
    </format>
    <format dxfId="233">
      <pivotArea field="32" type="button" dataOnly="0" labelOnly="1" outline="0" axis="axisCol" fieldPosition="0"/>
    </format>
    <format dxfId="232">
      <pivotArea field="30" type="button" dataOnly="0" labelOnly="1" outline="0" axis="axisCol" fieldPosition="1"/>
    </format>
    <format dxfId="231">
      <pivotArea type="topRight" dataOnly="0" labelOnly="1" outline="0" fieldPosition="0"/>
    </format>
    <format dxfId="230">
      <pivotArea dataOnly="0" labelOnly="1" fieldPosition="0">
        <references count="1">
          <reference field="32" count="2">
            <x v="1"/>
            <x v="2"/>
          </reference>
        </references>
      </pivotArea>
    </format>
    <format dxfId="229">
      <pivotArea dataOnly="0" labelOnly="1" grandCol="1" outline="0" fieldPosition="0"/>
    </format>
    <format dxfId="228">
      <pivotArea dataOnly="0" labelOnly="1" fieldPosition="0">
        <references count="2">
          <reference field="30" count="1">
            <x v="12"/>
          </reference>
          <reference field="32" count="1" selected="0">
            <x v="1"/>
          </reference>
        </references>
      </pivotArea>
    </format>
    <format dxfId="227">
      <pivotArea dataOnly="0" labelOnly="1" fieldPosition="0">
        <references count="2">
          <reference field="30" count="1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32" count="1" selected="0">
            <x v="2"/>
          </reference>
        </references>
      </pivotArea>
    </format>
    <format dxfId="226">
      <pivotArea field="2" type="button" dataOnly="0" labelOnly="1" outline="0" axis="axisRow" fieldPosition="0"/>
    </format>
    <format dxfId="225">
      <pivotArea dataOnly="0" labelOnly="1" grandCol="1" outline="0" fieldPosition="0"/>
    </format>
    <format dxfId="224">
      <pivotArea dataOnly="0" labelOnly="1" fieldPosition="0">
        <references count="2">
          <reference field="30" count="1">
            <x v="12"/>
          </reference>
          <reference field="32" count="1" selected="0">
            <x v="1"/>
          </reference>
        </references>
      </pivotArea>
    </format>
    <format dxfId="223">
      <pivotArea dataOnly="0" labelOnly="1" fieldPosition="0">
        <references count="2">
          <reference field="30" count="1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32" count="1" selected="0">
            <x v="2"/>
          </reference>
        </references>
      </pivotArea>
    </format>
    <format dxfId="222">
      <pivotArea grandRow="1" outline="0" collapsedLevelsAreSubtotals="1" fieldPosition="0"/>
    </format>
    <format dxfId="221">
      <pivotArea dataOnly="0" labelOnly="1" grandRow="1" outline="0" fieldPosition="0"/>
    </format>
    <format dxfId="220">
      <pivotArea dataOnly="0" fieldPosition="0">
        <references count="1">
          <reference field="2" count="1">
            <x v="0"/>
          </reference>
        </references>
      </pivotArea>
    </format>
    <format dxfId="219">
      <pivotArea collapsedLevelsAreSubtotals="1" fieldPosition="0">
        <references count="1">
          <reference field="2" count="3">
            <x v="0"/>
            <x v="1"/>
            <x v="2"/>
          </reference>
        </references>
      </pivotArea>
    </format>
    <format dxfId="218">
      <pivotArea dataOnly="0" labelOnly="1" fieldPosition="0">
        <references count="1">
          <reference field="2" count="3">
            <x v="0"/>
            <x v="1"/>
            <x v="2"/>
          </reference>
        </references>
      </pivotArea>
    </format>
    <format dxfId="217">
      <pivotArea collapsedLevelsAreSubtotals="1" fieldPosition="0">
        <references count="1">
          <reference field="2" count="1">
            <x v="1"/>
          </reference>
        </references>
      </pivotArea>
    </format>
    <format dxfId="216">
      <pivotArea dataOnly="0" labelOnly="1" fieldPosition="0">
        <references count="1">
          <reference field="2" count="1">
            <x v="1"/>
          </reference>
        </references>
      </pivotArea>
    </format>
    <format dxfId="215">
      <pivotArea outline="0" collapsedLevelsAreSubtotals="1" fieldPosition="0"/>
    </format>
    <format dxfId="214">
      <pivotArea grandRow="1" outline="0" collapsedLevelsAreSubtotals="1" fieldPosition="0"/>
    </format>
    <format dxfId="213">
      <pivotArea dataOnly="0" labelOnly="1" grandRow="1" outline="0" fieldPosition="0"/>
    </format>
    <format dxfId="212">
      <pivotArea grandRow="1" outline="0" collapsedLevelsAreSubtotals="1" fieldPosition="0"/>
    </format>
    <format dxfId="211">
      <pivotArea dataOnly="0" labelOnly="1" grandRow="1" outline="0" fieldPosition="0"/>
    </format>
    <format dxfId="210">
      <pivotArea collapsedLevelsAreSubtotals="1" fieldPosition="0">
        <references count="3">
          <reference field="2" count="4">
            <x v="1"/>
            <x v="2"/>
            <x v="3"/>
            <x v="5"/>
          </reference>
          <reference field="30" count="1" selected="0">
            <x v="2"/>
          </reference>
          <reference field="32" count="1" selected="0">
            <x v="2"/>
          </reference>
        </references>
      </pivotArea>
    </format>
    <format dxfId="209">
      <pivotArea outline="0" collapsedLevelsAreSubtotals="1" fieldPosition="0">
        <references count="2">
          <reference field="30" count="1" selected="0">
            <x v="2"/>
          </reference>
          <reference field="32" count="1" selected="0">
            <x v="2"/>
          </reference>
        </references>
      </pivotArea>
    </format>
    <format dxfId="208">
      <pivotArea dataOnly="0" labelOnly="1" fieldPosition="0">
        <references count="2">
          <reference field="30" count="1">
            <x v="2"/>
          </reference>
          <reference field="32" count="1" selected="0">
            <x v="2"/>
          </reference>
        </references>
      </pivotArea>
    </format>
    <format dxfId="207">
      <pivotArea outline="0" collapsedLevelsAreSubtotals="1" fieldPosition="0">
        <references count="2">
          <reference field="30" count="1" selected="0">
            <x v="2"/>
          </reference>
          <reference field="32" count="1" selected="0">
            <x v="2"/>
          </reference>
        </references>
      </pivotArea>
    </format>
    <format dxfId="206">
      <pivotArea dataOnly="0" labelOnly="1" fieldPosition="0">
        <references count="2">
          <reference field="30" count="1">
            <x v="2"/>
          </reference>
          <reference field="32" count="1" selected="0">
            <x v="2"/>
          </reference>
        </references>
      </pivotArea>
    </format>
    <format dxfId="205">
      <pivotArea type="all" dataOnly="0" outline="0" fieldPosition="0"/>
    </format>
    <format dxfId="204">
      <pivotArea outline="0" collapsedLevelsAreSubtotals="1" fieldPosition="0"/>
    </format>
    <format dxfId="203">
      <pivotArea type="origin" dataOnly="0" labelOnly="1" outline="0" fieldPosition="0"/>
    </format>
    <format dxfId="202">
      <pivotArea field="32" type="button" dataOnly="0" labelOnly="1" outline="0" axis="axisCol" fieldPosition="0"/>
    </format>
    <format dxfId="201">
      <pivotArea field="30" type="button" dataOnly="0" labelOnly="1" outline="0" axis="axisCol" fieldPosition="1"/>
    </format>
    <format dxfId="200">
      <pivotArea type="topRight" dataOnly="0" labelOnly="1" outline="0" fieldPosition="0"/>
    </format>
    <format dxfId="199">
      <pivotArea field="2" type="button" dataOnly="0" labelOnly="1" outline="0" axis="axisRow" fieldPosition="0"/>
    </format>
    <format dxfId="198">
      <pivotArea dataOnly="0" labelOnly="1" fieldPosition="0">
        <references count="1">
          <reference field="2" count="0"/>
        </references>
      </pivotArea>
    </format>
    <format dxfId="197">
      <pivotArea dataOnly="0" labelOnly="1" grandRow="1" outline="0" fieldPosition="0"/>
    </format>
    <format dxfId="196">
      <pivotArea dataOnly="0" labelOnly="1" fieldPosition="0">
        <references count="1">
          <reference field="32" count="2">
            <x v="1"/>
            <x v="2"/>
          </reference>
        </references>
      </pivotArea>
    </format>
    <format dxfId="195">
      <pivotArea dataOnly="0" labelOnly="1" grandCol="1" outline="0" fieldPosition="0"/>
    </format>
    <format dxfId="194">
      <pivotArea dataOnly="0" labelOnly="1" fieldPosition="0">
        <references count="2">
          <reference field="30" count="1">
            <x v="12"/>
          </reference>
          <reference field="32" count="1" selected="0">
            <x v="1"/>
          </reference>
        </references>
      </pivotArea>
    </format>
    <format dxfId="193">
      <pivotArea dataOnly="0" labelOnly="1" fieldPosition="0">
        <references count="2">
          <reference field="30" count="1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32" count="1" selected="0">
            <x v="2"/>
          </reference>
        </references>
      </pivotArea>
    </format>
    <format dxfId="192">
      <pivotArea dataOnly="0" labelOnly="1" fieldPosition="0">
        <references count="1">
          <reference field="2" count="0"/>
        </references>
      </pivotArea>
    </format>
    <format dxfId="191">
      <pivotArea dataOnly="0" labelOnly="1" fieldPosition="0">
        <references count="1">
          <reference field="2" count="0"/>
        </references>
      </pivotArea>
    </format>
    <format dxfId="190">
      <pivotArea type="all" dataOnly="0" outline="0" fieldPosition="0"/>
    </format>
    <format dxfId="189">
      <pivotArea outline="0" collapsedLevelsAreSubtotals="1" fieldPosition="0"/>
    </format>
    <format dxfId="188">
      <pivotArea type="origin" dataOnly="0" labelOnly="1" outline="0" fieldPosition="0"/>
    </format>
    <format dxfId="187">
      <pivotArea field="32" type="button" dataOnly="0" labelOnly="1" outline="0" axis="axisCol" fieldPosition="0"/>
    </format>
    <format dxfId="186">
      <pivotArea field="30" type="button" dataOnly="0" labelOnly="1" outline="0" axis="axisCol" fieldPosition="1"/>
    </format>
    <format dxfId="185">
      <pivotArea type="topRight" dataOnly="0" labelOnly="1" outline="0" fieldPosition="0"/>
    </format>
    <format dxfId="184">
      <pivotArea field="2" type="button" dataOnly="0" labelOnly="1" outline="0" axis="axisRow" fieldPosition="0"/>
    </format>
    <format dxfId="183">
      <pivotArea dataOnly="0" labelOnly="1" fieldPosition="0">
        <references count="1">
          <reference field="2" count="0"/>
        </references>
      </pivotArea>
    </format>
    <format dxfId="182">
      <pivotArea dataOnly="0" labelOnly="1" grandRow="1" outline="0" fieldPosition="0"/>
    </format>
    <format dxfId="181">
      <pivotArea dataOnly="0" labelOnly="1" fieldPosition="0">
        <references count="1">
          <reference field="32" count="2">
            <x v="1"/>
            <x v="2"/>
          </reference>
        </references>
      </pivotArea>
    </format>
    <format dxfId="180">
      <pivotArea dataOnly="0" labelOnly="1" grandCol="1" outline="0" fieldPosition="0"/>
    </format>
    <format dxfId="179">
      <pivotArea dataOnly="0" labelOnly="1" fieldPosition="0">
        <references count="2">
          <reference field="30" count="1">
            <x v="12"/>
          </reference>
          <reference field="32" count="1" selected="0">
            <x v="1"/>
          </reference>
        </references>
      </pivotArea>
    </format>
    <format dxfId="178">
      <pivotArea dataOnly="0" labelOnly="1" fieldPosition="0">
        <references count="2">
          <reference field="30" count="1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32" count="1" selected="0">
            <x v="2"/>
          </reference>
        </references>
      </pivotArea>
    </format>
    <format dxfId="177">
      <pivotArea outline="0" collapsedLevelsAreSubtotals="1" fieldPosition="0"/>
    </format>
    <format dxfId="176">
      <pivotArea field="32" type="button" dataOnly="0" labelOnly="1" outline="0" axis="axisCol" fieldPosition="0"/>
    </format>
    <format dxfId="175">
      <pivotArea field="30" type="button" dataOnly="0" labelOnly="1" outline="0" axis="axisCol" fieldPosition="1"/>
    </format>
    <format dxfId="174">
      <pivotArea type="topRight" dataOnly="0" labelOnly="1" outline="0" fieldPosition="0"/>
    </format>
    <format dxfId="173">
      <pivotArea dataOnly="0" labelOnly="1" fieldPosition="0">
        <references count="1">
          <reference field="32" count="2">
            <x v="1"/>
            <x v="2"/>
          </reference>
        </references>
      </pivotArea>
    </format>
    <format dxfId="172">
      <pivotArea dataOnly="0" labelOnly="1" grandCol="1" outline="0" fieldPosition="0"/>
    </format>
    <format dxfId="171">
      <pivotArea dataOnly="0" labelOnly="1" fieldPosition="0">
        <references count="2">
          <reference field="30" count="1">
            <x v="12"/>
          </reference>
          <reference field="32" count="1" selected="0">
            <x v="1"/>
          </reference>
        </references>
      </pivotArea>
    </format>
    <format dxfId="170">
      <pivotArea dataOnly="0" labelOnly="1" fieldPosition="0">
        <references count="2">
          <reference field="30" count="1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32" count="1" selected="0">
            <x v="2"/>
          </reference>
        </references>
      </pivotArea>
    </format>
    <format dxfId="169">
      <pivotArea collapsedLevelsAreSubtotals="1" fieldPosition="0">
        <references count="3">
          <reference field="2" count="1">
            <x v="1"/>
          </reference>
          <reference field="30" count="1" selected="0">
            <x v="2"/>
          </reference>
          <reference field="32" count="1" selected="0">
            <x v="2"/>
          </reference>
        </references>
      </pivotArea>
    </format>
    <format dxfId="168">
      <pivotArea collapsedLevelsAreSubtotals="1" fieldPosition="0">
        <references count="3">
          <reference field="2" count="1">
            <x v="2"/>
          </reference>
          <reference field="30" count="1" selected="0">
            <x v="2"/>
          </reference>
          <reference field="32" count="1" selected="0">
            <x v="2"/>
          </reference>
        </references>
      </pivotArea>
    </format>
    <format dxfId="167">
      <pivotArea collapsedLevelsAreSubtotals="1" fieldPosition="0">
        <references count="3">
          <reference field="2" count="2">
            <x v="3"/>
            <x v="5"/>
          </reference>
          <reference field="30" count="1" selected="0">
            <x v="2"/>
          </reference>
          <reference field="32" count="1" selected="0">
            <x v="2"/>
          </reference>
        </references>
      </pivotArea>
    </format>
    <format dxfId="166">
      <pivotArea field="32" grandRow="1" outline="0" collapsedLevelsAreSubtotals="1" axis="axisCol" fieldPosition="0">
        <references count="2">
          <reference field="30" count="1" selected="0">
            <x v="2"/>
          </reference>
          <reference field="32" count="1" selected="0">
            <x v="2"/>
          </reference>
        </references>
      </pivotArea>
    </format>
    <format dxfId="165">
      <pivotArea grandCol="1" outline="0" collapsedLevelsAreSubtotals="1" fieldPosition="0"/>
    </format>
    <format dxfId="164">
      <pivotArea type="topRight" dataOnly="0" labelOnly="1" outline="0" offset="L1" fieldPosition="0"/>
    </format>
    <format dxfId="163">
      <pivotArea dataOnly="0" labelOnly="1" grandCol="1" outline="0" fieldPosition="0"/>
    </format>
    <format dxfId="103">
      <pivotArea type="all" dataOnly="0" outline="0" fieldPosition="0"/>
    </format>
    <format dxfId="102">
      <pivotArea outline="0" collapsedLevelsAreSubtotals="1" fieldPosition="0"/>
    </format>
    <format dxfId="101">
      <pivotArea type="origin" dataOnly="0" labelOnly="1" outline="0" fieldPosition="0"/>
    </format>
    <format dxfId="100">
      <pivotArea field="32" type="button" dataOnly="0" labelOnly="1" outline="0" axis="axisCol" fieldPosition="0"/>
    </format>
    <format dxfId="99">
      <pivotArea field="30" type="button" dataOnly="0" labelOnly="1" outline="0" axis="axisCol" fieldPosition="1"/>
    </format>
    <format dxfId="98">
      <pivotArea type="topRight" dataOnly="0" labelOnly="1" outline="0" fieldPosition="0"/>
    </format>
    <format dxfId="97">
      <pivotArea field="2" type="button" dataOnly="0" labelOnly="1" outline="0" axis="axisRow" fieldPosition="0"/>
    </format>
    <format dxfId="96">
      <pivotArea dataOnly="0" labelOnly="1" fieldPosition="0">
        <references count="1">
          <reference field="2" count="0"/>
        </references>
      </pivotArea>
    </format>
    <format dxfId="95">
      <pivotArea dataOnly="0" labelOnly="1" grandRow="1" outline="0" fieldPosition="0"/>
    </format>
    <format dxfId="94">
      <pivotArea dataOnly="0" labelOnly="1" fieldPosition="0">
        <references count="1">
          <reference field="32" count="2">
            <x v="1"/>
            <x v="2"/>
          </reference>
        </references>
      </pivotArea>
    </format>
    <format dxfId="93">
      <pivotArea dataOnly="0" labelOnly="1" grandCol="1" outline="0" fieldPosition="0"/>
    </format>
    <format dxfId="92">
      <pivotArea dataOnly="0" labelOnly="1" fieldPosition="0">
        <references count="2">
          <reference field="30" count="1">
            <x v="12"/>
          </reference>
          <reference field="32" count="1" selected="0">
            <x v="1"/>
          </reference>
        </references>
      </pivotArea>
    </format>
    <format dxfId="91">
      <pivotArea dataOnly="0" labelOnly="1" fieldPosition="0">
        <references count="2">
          <reference field="30" count="1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32" count="1" selected="0">
            <x v="2"/>
          </reference>
        </references>
      </pivotArea>
    </format>
    <format dxfId="51">
      <pivotArea type="all" dataOnly="0" outline="0" fieldPosition="0"/>
    </format>
    <format dxfId="50">
      <pivotArea outline="0" collapsedLevelsAreSubtotals="1" fieldPosition="0"/>
    </format>
    <format dxfId="49">
      <pivotArea type="origin" dataOnly="0" labelOnly="1" outline="0" fieldPosition="0"/>
    </format>
    <format dxfId="48">
      <pivotArea field="32" type="button" dataOnly="0" labelOnly="1" outline="0" axis="axisCol" fieldPosition="0"/>
    </format>
    <format dxfId="47">
      <pivotArea field="30" type="button" dataOnly="0" labelOnly="1" outline="0" axis="axisCol" fieldPosition="1"/>
    </format>
    <format dxfId="46">
      <pivotArea type="topRight" dataOnly="0" labelOnly="1" outline="0" fieldPosition="0"/>
    </format>
    <format dxfId="45">
      <pivotArea field="2" type="button" dataOnly="0" labelOnly="1" outline="0" axis="axisRow" fieldPosition="0"/>
    </format>
    <format dxfId="44">
      <pivotArea dataOnly="0" labelOnly="1" fieldPosition="0">
        <references count="1">
          <reference field="2" count="0"/>
        </references>
      </pivotArea>
    </format>
    <format dxfId="43">
      <pivotArea dataOnly="0" labelOnly="1" grandRow="1" outline="0" fieldPosition="0"/>
    </format>
    <format dxfId="42">
      <pivotArea dataOnly="0" labelOnly="1" fieldPosition="0">
        <references count="1">
          <reference field="32" count="2">
            <x v="1"/>
            <x v="2"/>
          </reference>
        </references>
      </pivotArea>
    </format>
    <format dxfId="41">
      <pivotArea dataOnly="0" labelOnly="1" grandCol="1" outline="0" fieldPosition="0"/>
    </format>
    <format dxfId="40">
      <pivotArea dataOnly="0" labelOnly="1" fieldPosition="0">
        <references count="2">
          <reference field="30" count="1">
            <x v="12"/>
          </reference>
          <reference field="32" count="1" selected="0">
            <x v="1"/>
          </reference>
        </references>
      </pivotArea>
    </format>
    <format dxfId="39">
      <pivotArea dataOnly="0" labelOnly="1" fieldPosition="0">
        <references count="2">
          <reference field="30" count="1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32" count="1" selected="0">
            <x v="2"/>
          </reference>
        </references>
      </pivotArea>
    </format>
  </formats>
  <pivotTableStyleInfo name="Flattened Pivot Style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170D878-881D-4EDF-BF5F-E88214971B7A}" name="PivotTable3" cacheId="0" applyNumberFormats="0" applyBorderFormats="0" applyFontFormats="0" applyPatternFormats="0" applyAlignmentFormats="0" applyWidthHeightFormats="1" dataCaption="Values" grandTotalCaption="Total" updatedVersion="8" minRefreshableVersion="3" itemPrintTitles="1" createdVersion="8" indent="0" outline="1" outlineData="1" multipleFieldFilters="0" rowHeaderCaption="Credit, €">
  <location ref="C35:Q43" firstHeaderRow="1" firstDataRow="3" firstDataCol="1"/>
  <pivotFields count="33">
    <pivotField showAll="0" defaultSubtotal="0">
      <items count="14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0"/>
      </items>
    </pivotField>
    <pivotField showAll="0" defaultSubtotal="0">
      <items count="15"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0"/>
        <item x="1"/>
        <item x="2"/>
      </items>
    </pivotField>
    <pivotField axis="axisRow" showAll="0" defaultSubtotal="0">
      <items count="6">
        <item x="1"/>
        <item x="4"/>
        <item x="2"/>
        <item x="5"/>
        <item h="1" x="0"/>
        <item x="3"/>
      </items>
    </pivotField>
    <pivotField showAll="0" defaultSubtotal="0"/>
    <pivotField showAll="0" defaultSubtotal="0"/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dataField="1" showAll="0" defaultSubtotal="0"/>
    <pivotField dragToRow="0" dragToCol="0" dragToPage="0" showAll="0" defaultSubtotal="0"/>
    <pivotField showAll="0" defaultSubtotal="0">
      <items count="14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</items>
    </pivotField>
    <pivotField showAll="0" defaultSubtotal="0">
      <items count="6">
        <item sd="0" x="1"/>
        <item sd="0" x="2"/>
        <item sd="0" x="3"/>
        <item sd="0" x="4"/>
        <item x="0"/>
        <item x="5"/>
      </items>
    </pivotField>
    <pivotField showAll="0" defaultSubtotal="0">
      <items count="5">
        <item sd="0" x="2"/>
        <item sd="0" x="3"/>
        <item x="0"/>
        <item x="1"/>
        <item x="4"/>
      </items>
    </pivotField>
    <pivotField axis="axisCol" showAll="0" defaultSubtotal="0">
      <items count="14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</items>
    </pivotField>
    <pivotField showAll="0" defaultSubtotal="0">
      <items count="6">
        <item sd="0" x="0"/>
        <item sd="0" x="1"/>
        <item sd="0" x="2"/>
        <item sd="0" x="3"/>
        <item sd="0" x="4"/>
        <item x="5"/>
      </items>
    </pivotField>
    <pivotField axis="axisCol" showAll="0" defaultSubtotal="0">
      <items count="4">
        <item sd="0" x="0"/>
        <item x="1"/>
        <item x="2"/>
        <item x="3"/>
      </items>
    </pivotField>
  </pivotFields>
  <rowFields count="1">
    <field x="2"/>
  </rowFields>
  <rowItems count="6">
    <i>
      <x/>
    </i>
    <i>
      <x v="1"/>
    </i>
    <i>
      <x v="2"/>
    </i>
    <i>
      <x v="3"/>
    </i>
    <i>
      <x v="5"/>
    </i>
    <i t="grand">
      <x/>
    </i>
  </rowItems>
  <colFields count="2">
    <field x="32"/>
    <field x="30"/>
  </colFields>
  <colItems count="14">
    <i>
      <x v="1"/>
      <x v="12"/>
    </i>
    <i>
      <x v="2"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t="grand">
      <x/>
    </i>
  </colItems>
  <dataFields count="1">
    <dataField name="Sum of Credit Issued, €" fld="25" baseField="0" baseItem="0" numFmtId="167"/>
  </dataFields>
  <formats count="72">
    <format dxfId="295">
      <pivotArea dataOnly="0" grandCol="1" outline="0" fieldPosition="0"/>
    </format>
    <format dxfId="294">
      <pivotArea dataOnly="0" outline="0" fieldPosition="0">
        <references count="1">
          <reference field="32" count="1">
            <x v="1"/>
          </reference>
        </references>
      </pivotArea>
    </format>
    <format dxfId="293">
      <pivotArea dataOnly="0" labelOnly="1" fieldPosition="0">
        <references count="2">
          <reference field="30" count="1">
            <x v="12"/>
          </reference>
          <reference field="32" count="1" selected="0">
            <x v="1"/>
          </reference>
        </references>
      </pivotArea>
    </format>
    <format dxfId="292">
      <pivotArea outline="0" collapsedLevelsAreSubtotals="1" fieldPosition="0"/>
    </format>
    <format dxfId="291">
      <pivotArea dataOnly="0" labelOnly="1" grandCol="1" outline="0" fieldPosition="0"/>
    </format>
    <format dxfId="290">
      <pivotArea dataOnly="0" labelOnly="1" fieldPosition="0">
        <references count="2">
          <reference field="30" count="1">
            <x v="12"/>
          </reference>
          <reference field="32" count="1" selected="0">
            <x v="1"/>
          </reference>
        </references>
      </pivotArea>
    </format>
    <format dxfId="289">
      <pivotArea dataOnly="0" labelOnly="1" fieldPosition="0">
        <references count="2">
          <reference field="30" count="1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32" count="1" selected="0">
            <x v="2"/>
          </reference>
        </references>
      </pivotArea>
    </format>
    <format dxfId="288">
      <pivotArea outline="0" collapsedLevelsAreSubtotals="1" fieldPosition="0"/>
    </format>
    <format dxfId="287">
      <pivotArea field="32" type="button" dataOnly="0" labelOnly="1" outline="0" axis="axisCol" fieldPosition="0"/>
    </format>
    <format dxfId="286">
      <pivotArea field="30" type="button" dataOnly="0" labelOnly="1" outline="0" axis="axisCol" fieldPosition="1"/>
    </format>
    <format dxfId="285">
      <pivotArea type="topRight" dataOnly="0" labelOnly="1" outline="0" fieldPosition="0"/>
    </format>
    <format dxfId="284">
      <pivotArea dataOnly="0" labelOnly="1" fieldPosition="0">
        <references count="1">
          <reference field="32" count="2">
            <x v="1"/>
            <x v="2"/>
          </reference>
        </references>
      </pivotArea>
    </format>
    <format dxfId="283">
      <pivotArea dataOnly="0" labelOnly="1" grandCol="1" outline="0" fieldPosition="0"/>
    </format>
    <format dxfId="282">
      <pivotArea dataOnly="0" labelOnly="1" fieldPosition="0">
        <references count="2">
          <reference field="30" count="1">
            <x v="12"/>
          </reference>
          <reference field="32" count="1" selected="0">
            <x v="1"/>
          </reference>
        </references>
      </pivotArea>
    </format>
    <format dxfId="281">
      <pivotArea dataOnly="0" labelOnly="1" fieldPosition="0">
        <references count="2">
          <reference field="30" count="1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32" count="1" selected="0">
            <x v="2"/>
          </reference>
        </references>
      </pivotArea>
    </format>
    <format dxfId="280">
      <pivotArea outline="0" collapsedLevelsAreSubtotals="1" fieldPosition="0"/>
    </format>
    <format dxfId="279">
      <pivotArea field="32" type="button" dataOnly="0" labelOnly="1" outline="0" axis="axisCol" fieldPosition="0"/>
    </format>
    <format dxfId="278">
      <pivotArea field="30" type="button" dataOnly="0" labelOnly="1" outline="0" axis="axisCol" fieldPosition="1"/>
    </format>
    <format dxfId="277">
      <pivotArea type="topRight" dataOnly="0" labelOnly="1" outline="0" fieldPosition="0"/>
    </format>
    <format dxfId="276">
      <pivotArea dataOnly="0" labelOnly="1" fieldPosition="0">
        <references count="1">
          <reference field="32" count="2">
            <x v="1"/>
            <x v="2"/>
          </reference>
        </references>
      </pivotArea>
    </format>
    <format dxfId="275">
      <pivotArea dataOnly="0" labelOnly="1" fieldPosition="0">
        <references count="2">
          <reference field="30" count="1">
            <x v="12"/>
          </reference>
          <reference field="32" count="1" selected="0">
            <x v="1"/>
          </reference>
        </references>
      </pivotArea>
    </format>
    <format dxfId="274">
      <pivotArea dataOnly="0" labelOnly="1" fieldPosition="0">
        <references count="2">
          <reference field="30" count="1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32" count="1" selected="0">
            <x v="2"/>
          </reference>
        </references>
      </pivotArea>
    </format>
    <format dxfId="273">
      <pivotArea type="all" dataOnly="0" outline="0" fieldPosition="0"/>
    </format>
    <format dxfId="272">
      <pivotArea outline="0" collapsedLevelsAreSubtotals="1" fieldPosition="0"/>
    </format>
    <format dxfId="271">
      <pivotArea type="origin" dataOnly="0" labelOnly="1" outline="0" fieldPosition="0"/>
    </format>
    <format dxfId="270">
      <pivotArea field="32" type="button" dataOnly="0" labelOnly="1" outline="0" axis="axisCol" fieldPosition="0"/>
    </format>
    <format dxfId="269">
      <pivotArea field="30" type="button" dataOnly="0" labelOnly="1" outline="0" axis="axisCol" fieldPosition="1"/>
    </format>
    <format dxfId="268">
      <pivotArea type="topRight" dataOnly="0" labelOnly="1" outline="0" fieldPosition="0"/>
    </format>
    <format dxfId="267">
      <pivotArea field="2" type="button" dataOnly="0" labelOnly="1" outline="0" axis="axisRow" fieldPosition="0"/>
    </format>
    <format dxfId="266">
      <pivotArea dataOnly="0" labelOnly="1" fieldPosition="0">
        <references count="1">
          <reference field="2" count="0"/>
        </references>
      </pivotArea>
    </format>
    <format dxfId="265">
      <pivotArea dataOnly="0" labelOnly="1" grandRow="1" outline="0" fieldPosition="0"/>
    </format>
    <format dxfId="264">
      <pivotArea dataOnly="0" labelOnly="1" fieldPosition="0">
        <references count="1">
          <reference field="32" count="2">
            <x v="1"/>
            <x v="2"/>
          </reference>
        </references>
      </pivotArea>
    </format>
    <format dxfId="263">
      <pivotArea dataOnly="0" labelOnly="1" grandCol="1" outline="0" fieldPosition="0"/>
    </format>
    <format dxfId="262">
      <pivotArea dataOnly="0" labelOnly="1" fieldPosition="0">
        <references count="2">
          <reference field="30" count="1">
            <x v="12"/>
          </reference>
          <reference field="32" count="1" selected="0">
            <x v="1"/>
          </reference>
        </references>
      </pivotArea>
    </format>
    <format dxfId="261">
      <pivotArea dataOnly="0" labelOnly="1" fieldPosition="0">
        <references count="2">
          <reference field="30" count="1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32" count="1" selected="0">
            <x v="2"/>
          </reference>
        </references>
      </pivotArea>
    </format>
    <format dxfId="260">
      <pivotArea collapsedLevelsAreSubtotals="1" fieldPosition="0">
        <references count="1">
          <reference field="2" count="2">
            <x v="0"/>
            <x v="1"/>
          </reference>
        </references>
      </pivotArea>
    </format>
    <format dxfId="259">
      <pivotArea dataOnly="0" labelOnly="1" fieldPosition="0">
        <references count="1">
          <reference field="2" count="2">
            <x v="0"/>
            <x v="1"/>
          </reference>
        </references>
      </pivotArea>
    </format>
    <format dxfId="258">
      <pivotArea dataOnly="0" labelOnly="1" grandCol="1" outline="0" fieldPosition="0"/>
    </format>
    <format dxfId="257">
      <pivotArea dataOnly="0" labelOnly="1" grandCol="1" outline="0" fieldPosition="0"/>
    </format>
    <format dxfId="256">
      <pivotArea type="topRight" dataOnly="0" labelOnly="1" outline="0" offset="L1" fieldPosition="0"/>
    </format>
    <format dxfId="255">
      <pivotArea dataOnly="0" labelOnly="1" grandCol="1" outline="0" fieldPosition="0"/>
    </format>
    <format dxfId="254">
      <pivotArea grandCol="1" outline="0" collapsedLevelsAreSubtotals="1" fieldPosition="0"/>
    </format>
    <format dxfId="253">
      <pivotArea type="topRight" dataOnly="0" labelOnly="1" outline="0" offset="L1" fieldPosition="0"/>
    </format>
    <format dxfId="252">
      <pivotArea dataOnly="0" labelOnly="1" grandCol="1" outline="0" fieldPosition="0"/>
    </format>
    <format dxfId="251">
      <pivotArea outline="0" collapsedLevelsAreSubtotals="1" fieldPosition="0"/>
    </format>
    <format dxfId="250">
      <pivotArea grandRow="1" grandCol="1" outline="0" collapsedLevelsAreSubtotals="1" fieldPosition="0"/>
    </format>
    <format dxfId="90">
      <pivotArea type="all" dataOnly="0" outline="0" fieldPosition="0"/>
    </format>
    <format dxfId="89">
      <pivotArea outline="0" collapsedLevelsAreSubtotals="1" fieldPosition="0"/>
    </format>
    <format dxfId="88">
      <pivotArea type="origin" dataOnly="0" labelOnly="1" outline="0" fieldPosition="0"/>
    </format>
    <format dxfId="87">
      <pivotArea field="32" type="button" dataOnly="0" labelOnly="1" outline="0" axis="axisCol" fieldPosition="0"/>
    </format>
    <format dxfId="86">
      <pivotArea field="30" type="button" dataOnly="0" labelOnly="1" outline="0" axis="axisCol" fieldPosition="1"/>
    </format>
    <format dxfId="85">
      <pivotArea type="topRight" dataOnly="0" labelOnly="1" outline="0" fieldPosition="0"/>
    </format>
    <format dxfId="84">
      <pivotArea field="2" type="button" dataOnly="0" labelOnly="1" outline="0" axis="axisRow" fieldPosition="0"/>
    </format>
    <format dxfId="83">
      <pivotArea dataOnly="0" labelOnly="1" fieldPosition="0">
        <references count="1">
          <reference field="2" count="0"/>
        </references>
      </pivotArea>
    </format>
    <format dxfId="82">
      <pivotArea dataOnly="0" labelOnly="1" grandRow="1" outline="0" fieldPosition="0"/>
    </format>
    <format dxfId="81">
      <pivotArea dataOnly="0" labelOnly="1" fieldPosition="0">
        <references count="1">
          <reference field="32" count="2">
            <x v="1"/>
            <x v="2"/>
          </reference>
        </references>
      </pivotArea>
    </format>
    <format dxfId="80">
      <pivotArea dataOnly="0" labelOnly="1" grandCol="1" outline="0" fieldPosition="0"/>
    </format>
    <format dxfId="79">
      <pivotArea dataOnly="0" labelOnly="1" fieldPosition="0">
        <references count="2">
          <reference field="30" count="1">
            <x v="12"/>
          </reference>
          <reference field="32" count="1" selected="0">
            <x v="1"/>
          </reference>
        </references>
      </pivotArea>
    </format>
    <format dxfId="78">
      <pivotArea dataOnly="0" labelOnly="1" fieldPosition="0">
        <references count="2">
          <reference field="30" count="1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32" count="1" selected="0">
            <x v="2"/>
          </reference>
        </references>
      </pivotArea>
    </format>
    <format dxfId="38">
      <pivotArea type="all" dataOnly="0" outline="0" fieldPosition="0"/>
    </format>
    <format dxfId="37">
      <pivotArea outline="0" collapsedLevelsAreSubtotals="1" fieldPosition="0"/>
    </format>
    <format dxfId="36">
      <pivotArea type="origin" dataOnly="0" labelOnly="1" outline="0" fieldPosition="0"/>
    </format>
    <format dxfId="35">
      <pivotArea field="32" type="button" dataOnly="0" labelOnly="1" outline="0" axis="axisCol" fieldPosition="0"/>
    </format>
    <format dxfId="34">
      <pivotArea field="30" type="button" dataOnly="0" labelOnly="1" outline="0" axis="axisCol" fieldPosition="1"/>
    </format>
    <format dxfId="33">
      <pivotArea type="topRight" dataOnly="0" labelOnly="1" outline="0" fieldPosition="0"/>
    </format>
    <format dxfId="32">
      <pivotArea field="2" type="button" dataOnly="0" labelOnly="1" outline="0" axis="axisRow" fieldPosition="0"/>
    </format>
    <format dxfId="31">
      <pivotArea dataOnly="0" labelOnly="1" fieldPosition="0">
        <references count="1">
          <reference field="2" count="0"/>
        </references>
      </pivotArea>
    </format>
    <format dxfId="30">
      <pivotArea dataOnly="0" labelOnly="1" grandRow="1" outline="0" fieldPosition="0"/>
    </format>
    <format dxfId="29">
      <pivotArea dataOnly="0" labelOnly="1" fieldPosition="0">
        <references count="1">
          <reference field="32" count="2">
            <x v="1"/>
            <x v="2"/>
          </reference>
        </references>
      </pivotArea>
    </format>
    <format dxfId="28">
      <pivotArea dataOnly="0" labelOnly="1" grandCol="1" outline="0" fieldPosition="0"/>
    </format>
    <format dxfId="27">
      <pivotArea dataOnly="0" labelOnly="1" fieldPosition="0">
        <references count="2">
          <reference field="30" count="1">
            <x v="12"/>
          </reference>
          <reference field="32" count="1" selected="0">
            <x v="1"/>
          </reference>
        </references>
      </pivotArea>
    </format>
    <format dxfId="26">
      <pivotArea dataOnly="0" labelOnly="1" fieldPosition="0">
        <references count="2">
          <reference field="30" count="1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32" count="1" selected="0">
            <x v="2"/>
          </reference>
        </references>
      </pivotArea>
    </format>
  </formats>
  <pivotTableStyleInfo name="Flattened Pivot Style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E76CE3A-36EE-4799-AA0A-9E357AA4884B}" name="PivotTable4" cacheId="0" applyNumberFormats="0" applyBorderFormats="0" applyFontFormats="0" applyPatternFormats="0" applyAlignmentFormats="0" applyWidthHeightFormats="1" dataCaption="Values" grandTotalCaption="Total" updatedVersion="8" minRefreshableVersion="3" itemPrintTitles="1" createdVersion="8" indent="0" outline="1" outlineData="1" multipleFieldFilters="0" rowHeaderCaption="Credit, €">
  <location ref="C47:Q55" firstHeaderRow="1" firstDataRow="3" firstDataCol="1"/>
  <pivotFields count="33">
    <pivotField showAll="0" defaultSubtotal="0">
      <items count="14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0"/>
      </items>
    </pivotField>
    <pivotField showAll="0" defaultSubtotal="0">
      <items count="15"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0"/>
        <item x="1"/>
        <item x="2"/>
      </items>
    </pivotField>
    <pivotField axis="axisRow" showAll="0" defaultSubtotal="0">
      <items count="6">
        <item x="1"/>
        <item x="4"/>
        <item x="2"/>
        <item x="5"/>
        <item h="1" x="0"/>
        <item x="3"/>
      </items>
    </pivotField>
    <pivotField showAll="0" defaultSubtotal="0"/>
    <pivotField showAll="0" defaultSubtotal="0"/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dataField="1" showAll="0" defaultSubtotal="0"/>
    <pivotField showAll="0" defaultSubtotal="0"/>
    <pivotField dragToRow="0" dragToCol="0" dragToPage="0" showAll="0" defaultSubtotal="0"/>
    <pivotField showAll="0" defaultSubtotal="0">
      <items count="14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</items>
    </pivotField>
    <pivotField showAll="0" defaultSubtotal="0">
      <items count="6">
        <item sd="0" x="1"/>
        <item sd="0" x="2"/>
        <item sd="0" x="3"/>
        <item sd="0" x="4"/>
        <item x="0"/>
        <item x="5"/>
      </items>
    </pivotField>
    <pivotField showAll="0" defaultSubtotal="0">
      <items count="5">
        <item sd="0" x="2"/>
        <item sd="0" x="3"/>
        <item x="0"/>
        <item x="1"/>
        <item x="4"/>
      </items>
    </pivotField>
    <pivotField axis="axisCol" showAll="0" defaultSubtotal="0">
      <items count="14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</items>
    </pivotField>
    <pivotField showAll="0" defaultSubtotal="0">
      <items count="6">
        <item sd="0" x="0"/>
        <item sd="0" x="1"/>
        <item sd="0" x="2"/>
        <item sd="0" x="3"/>
        <item sd="0" x="4"/>
        <item x="5"/>
      </items>
    </pivotField>
    <pivotField axis="axisCol" showAll="0" defaultSubtotal="0">
      <items count="4">
        <item sd="0" x="0"/>
        <item x="1"/>
        <item x="2"/>
        <item x="3"/>
      </items>
    </pivotField>
  </pivotFields>
  <rowFields count="1">
    <field x="2"/>
  </rowFields>
  <rowItems count="6">
    <i>
      <x/>
    </i>
    <i>
      <x v="1"/>
    </i>
    <i>
      <x v="2"/>
    </i>
    <i>
      <x v="3"/>
    </i>
    <i>
      <x v="5"/>
    </i>
    <i t="grand">
      <x/>
    </i>
  </rowItems>
  <colFields count="2">
    <field x="32"/>
    <field x="30"/>
  </colFields>
  <colItems count="14">
    <i>
      <x v="1"/>
      <x v="12"/>
    </i>
    <i>
      <x v="2"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t="grand">
      <x/>
    </i>
  </colItems>
  <dataFields count="1">
    <dataField name="Sum of Tokens Issued, #" fld="24" baseField="0" baseItem="0" numFmtId="173"/>
  </dataFields>
  <formats count="69">
    <format dxfId="338">
      <pivotArea dataOnly="0" grandCol="1" outline="0" fieldPosition="0"/>
    </format>
    <format dxfId="337">
      <pivotArea dataOnly="0" outline="0" fieldPosition="0">
        <references count="1">
          <reference field="32" count="1">
            <x v="1"/>
          </reference>
        </references>
      </pivotArea>
    </format>
    <format dxfId="336">
      <pivotArea dataOnly="0" labelOnly="1" fieldPosition="0">
        <references count="2">
          <reference field="30" count="1">
            <x v="12"/>
          </reference>
          <reference field="32" count="1" selected="0">
            <x v="1"/>
          </reference>
        </references>
      </pivotArea>
    </format>
    <format dxfId="335">
      <pivotArea outline="0" collapsedLevelsAreSubtotals="1" fieldPosition="0"/>
    </format>
    <format dxfId="334">
      <pivotArea dataOnly="0" labelOnly="1" grandCol="1" outline="0" fieldPosition="0"/>
    </format>
    <format dxfId="333">
      <pivotArea dataOnly="0" labelOnly="1" fieldPosition="0">
        <references count="2">
          <reference field="30" count="1">
            <x v="12"/>
          </reference>
          <reference field="32" count="1" selected="0">
            <x v="1"/>
          </reference>
        </references>
      </pivotArea>
    </format>
    <format dxfId="332">
      <pivotArea dataOnly="0" labelOnly="1" fieldPosition="0">
        <references count="2">
          <reference field="30" count="1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32" count="1" selected="0">
            <x v="2"/>
          </reference>
        </references>
      </pivotArea>
    </format>
    <format dxfId="331">
      <pivotArea outline="0" collapsedLevelsAreSubtotals="1" fieldPosition="0"/>
    </format>
    <format dxfId="330">
      <pivotArea field="32" type="button" dataOnly="0" labelOnly="1" outline="0" axis="axisCol" fieldPosition="0"/>
    </format>
    <format dxfId="329">
      <pivotArea field="30" type="button" dataOnly="0" labelOnly="1" outline="0" axis="axisCol" fieldPosition="1"/>
    </format>
    <format dxfId="328">
      <pivotArea type="topRight" dataOnly="0" labelOnly="1" outline="0" fieldPosition="0"/>
    </format>
    <format dxfId="327">
      <pivotArea dataOnly="0" labelOnly="1" fieldPosition="0">
        <references count="1">
          <reference field="32" count="2">
            <x v="1"/>
            <x v="2"/>
          </reference>
        </references>
      </pivotArea>
    </format>
    <format dxfId="326">
      <pivotArea dataOnly="0" labelOnly="1" grandCol="1" outline="0" fieldPosition="0"/>
    </format>
    <format dxfId="325">
      <pivotArea dataOnly="0" labelOnly="1" fieldPosition="0">
        <references count="2">
          <reference field="30" count="1">
            <x v="12"/>
          </reference>
          <reference field="32" count="1" selected="0">
            <x v="1"/>
          </reference>
        </references>
      </pivotArea>
    </format>
    <format dxfId="324">
      <pivotArea dataOnly="0" labelOnly="1" fieldPosition="0">
        <references count="2">
          <reference field="30" count="1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32" count="1" selected="0">
            <x v="2"/>
          </reference>
        </references>
      </pivotArea>
    </format>
    <format dxfId="323">
      <pivotArea outline="0" collapsedLevelsAreSubtotals="1" fieldPosition="0"/>
    </format>
    <format dxfId="322">
      <pivotArea field="32" type="button" dataOnly="0" labelOnly="1" outline="0" axis="axisCol" fieldPosition="0"/>
    </format>
    <format dxfId="321">
      <pivotArea field="30" type="button" dataOnly="0" labelOnly="1" outline="0" axis="axisCol" fieldPosition="1"/>
    </format>
    <format dxfId="320">
      <pivotArea type="topRight" dataOnly="0" labelOnly="1" outline="0" fieldPosition="0"/>
    </format>
    <format dxfId="319">
      <pivotArea dataOnly="0" labelOnly="1" fieldPosition="0">
        <references count="1">
          <reference field="32" count="2">
            <x v="1"/>
            <x v="2"/>
          </reference>
        </references>
      </pivotArea>
    </format>
    <format dxfId="318">
      <pivotArea dataOnly="0" labelOnly="1" fieldPosition="0">
        <references count="2">
          <reference field="30" count="1">
            <x v="12"/>
          </reference>
          <reference field="32" count="1" selected="0">
            <x v="1"/>
          </reference>
        </references>
      </pivotArea>
    </format>
    <format dxfId="317">
      <pivotArea dataOnly="0" labelOnly="1" fieldPosition="0">
        <references count="2">
          <reference field="30" count="1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32" count="1" selected="0">
            <x v="2"/>
          </reference>
        </references>
      </pivotArea>
    </format>
    <format dxfId="316">
      <pivotArea type="all" dataOnly="0" outline="0" fieldPosition="0"/>
    </format>
    <format dxfId="315">
      <pivotArea outline="0" collapsedLevelsAreSubtotals="1" fieldPosition="0"/>
    </format>
    <format dxfId="314">
      <pivotArea type="origin" dataOnly="0" labelOnly="1" outline="0" fieldPosition="0"/>
    </format>
    <format dxfId="313">
      <pivotArea field="32" type="button" dataOnly="0" labelOnly="1" outline="0" axis="axisCol" fieldPosition="0"/>
    </format>
    <format dxfId="312">
      <pivotArea field="30" type="button" dataOnly="0" labelOnly="1" outline="0" axis="axisCol" fieldPosition="1"/>
    </format>
    <format dxfId="311">
      <pivotArea type="topRight" dataOnly="0" labelOnly="1" outline="0" fieldPosition="0"/>
    </format>
    <format dxfId="310">
      <pivotArea field="2" type="button" dataOnly="0" labelOnly="1" outline="0" axis="axisRow" fieldPosition="0"/>
    </format>
    <format dxfId="309">
      <pivotArea dataOnly="0" labelOnly="1" fieldPosition="0">
        <references count="1">
          <reference field="2" count="0"/>
        </references>
      </pivotArea>
    </format>
    <format dxfId="308">
      <pivotArea dataOnly="0" labelOnly="1" grandRow="1" outline="0" fieldPosition="0"/>
    </format>
    <format dxfId="307">
      <pivotArea dataOnly="0" labelOnly="1" fieldPosition="0">
        <references count="1">
          <reference field="32" count="2">
            <x v="1"/>
            <x v="2"/>
          </reference>
        </references>
      </pivotArea>
    </format>
    <format dxfId="306">
      <pivotArea dataOnly="0" labelOnly="1" grandCol="1" outline="0" fieldPosition="0"/>
    </format>
    <format dxfId="305">
      <pivotArea dataOnly="0" labelOnly="1" fieldPosition="0">
        <references count="2">
          <reference field="30" count="1">
            <x v="12"/>
          </reference>
          <reference field="32" count="1" selected="0">
            <x v="1"/>
          </reference>
        </references>
      </pivotArea>
    </format>
    <format dxfId="304">
      <pivotArea dataOnly="0" labelOnly="1" fieldPosition="0">
        <references count="2">
          <reference field="30" count="1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32" count="1" selected="0">
            <x v="2"/>
          </reference>
        </references>
      </pivotArea>
    </format>
    <format dxfId="303">
      <pivotArea outline="0" collapsedLevelsAreSubtotals="1" fieldPosition="0"/>
    </format>
    <format dxfId="302">
      <pivotArea collapsedLevelsAreSubtotals="1" fieldPosition="0">
        <references count="1">
          <reference field="2" count="0"/>
        </references>
      </pivotArea>
    </format>
    <format dxfId="301">
      <pivotArea dataOnly="0" labelOnly="1" fieldPosition="0">
        <references count="1">
          <reference field="2" count="0"/>
        </references>
      </pivotArea>
    </format>
    <format dxfId="300">
      <pivotArea dataOnly="0" fieldPosition="0">
        <references count="1">
          <reference field="2" count="2">
            <x v="0"/>
            <x v="1"/>
          </reference>
        </references>
      </pivotArea>
    </format>
    <format dxfId="299">
      <pivotArea dataOnly="0" labelOnly="1" grandCol="1" outline="0" fieldPosition="0"/>
    </format>
    <format dxfId="298">
      <pivotArea grandCol="1" outline="0" collapsedLevelsAreSubtotals="1" fieldPosition="0"/>
    </format>
    <format dxfId="297">
      <pivotArea type="topRight" dataOnly="0" labelOnly="1" outline="0" offset="L1" fieldPosition="0"/>
    </format>
    <format dxfId="296">
      <pivotArea dataOnly="0" labelOnly="1" grandCol="1" outline="0" fieldPosition="0"/>
    </format>
    <format dxfId="77">
      <pivotArea type="all" dataOnly="0" outline="0" fieldPosition="0"/>
    </format>
    <format dxfId="76">
      <pivotArea outline="0" collapsedLevelsAreSubtotals="1" fieldPosition="0"/>
    </format>
    <format dxfId="75">
      <pivotArea type="origin" dataOnly="0" labelOnly="1" outline="0" fieldPosition="0"/>
    </format>
    <format dxfId="74">
      <pivotArea field="32" type="button" dataOnly="0" labelOnly="1" outline="0" axis="axisCol" fieldPosition="0"/>
    </format>
    <format dxfId="73">
      <pivotArea field="30" type="button" dataOnly="0" labelOnly="1" outline="0" axis="axisCol" fieldPosition="1"/>
    </format>
    <format dxfId="72">
      <pivotArea type="topRight" dataOnly="0" labelOnly="1" outline="0" fieldPosition="0"/>
    </format>
    <format dxfId="71">
      <pivotArea field="2" type="button" dataOnly="0" labelOnly="1" outline="0" axis="axisRow" fieldPosition="0"/>
    </format>
    <format dxfId="70">
      <pivotArea dataOnly="0" labelOnly="1" fieldPosition="0">
        <references count="1">
          <reference field="2" count="0"/>
        </references>
      </pivotArea>
    </format>
    <format dxfId="69">
      <pivotArea dataOnly="0" labelOnly="1" grandRow="1" outline="0" fieldPosition="0"/>
    </format>
    <format dxfId="68">
      <pivotArea dataOnly="0" labelOnly="1" fieldPosition="0">
        <references count="1">
          <reference field="32" count="2">
            <x v="1"/>
            <x v="2"/>
          </reference>
        </references>
      </pivotArea>
    </format>
    <format dxfId="67">
      <pivotArea dataOnly="0" labelOnly="1" grandCol="1" outline="0" fieldPosition="0"/>
    </format>
    <format dxfId="66">
      <pivotArea dataOnly="0" labelOnly="1" fieldPosition="0">
        <references count="2">
          <reference field="30" count="1">
            <x v="12"/>
          </reference>
          <reference field="32" count="1" selected="0">
            <x v="1"/>
          </reference>
        </references>
      </pivotArea>
    </format>
    <format dxfId="65">
      <pivotArea dataOnly="0" labelOnly="1" fieldPosition="0">
        <references count="2">
          <reference field="30" count="1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32" count="1" selected="0">
            <x v="2"/>
          </reference>
        </references>
      </pivotArea>
    </format>
    <format dxfId="25">
      <pivotArea type="all" dataOnly="0" outline="0" fieldPosition="0"/>
    </format>
    <format dxfId="24">
      <pivotArea outline="0" collapsedLevelsAreSubtotals="1" fieldPosition="0"/>
    </format>
    <format dxfId="23">
      <pivotArea type="origin" dataOnly="0" labelOnly="1" outline="0" fieldPosition="0"/>
    </format>
    <format dxfId="22">
      <pivotArea field="32" type="button" dataOnly="0" labelOnly="1" outline="0" axis="axisCol" fieldPosition="0"/>
    </format>
    <format dxfId="21">
      <pivotArea field="30" type="button" dataOnly="0" labelOnly="1" outline="0" axis="axisCol" fieldPosition="1"/>
    </format>
    <format dxfId="20">
      <pivotArea type="topRight" dataOnly="0" labelOnly="1" outline="0" fieldPosition="0"/>
    </format>
    <format dxfId="19">
      <pivotArea field="2" type="button" dataOnly="0" labelOnly="1" outline="0" axis="axisRow" fieldPosition="0"/>
    </format>
    <format dxfId="18">
      <pivotArea dataOnly="0" labelOnly="1" fieldPosition="0">
        <references count="1">
          <reference field="2" count="0"/>
        </references>
      </pivotArea>
    </format>
    <format dxfId="17">
      <pivotArea dataOnly="0" labelOnly="1" grandRow="1" outline="0" fieldPosition="0"/>
    </format>
    <format dxfId="16">
      <pivotArea dataOnly="0" labelOnly="1" fieldPosition="0">
        <references count="1">
          <reference field="32" count="2">
            <x v="1"/>
            <x v="2"/>
          </reference>
        </references>
      </pivotArea>
    </format>
    <format dxfId="15">
      <pivotArea dataOnly="0" labelOnly="1" grandCol="1" outline="0" fieldPosition="0"/>
    </format>
    <format dxfId="14">
      <pivotArea dataOnly="0" labelOnly="1" fieldPosition="0">
        <references count="2">
          <reference field="30" count="1">
            <x v="12"/>
          </reference>
          <reference field="32" count="1" selected="0">
            <x v="1"/>
          </reference>
        </references>
      </pivotArea>
    </format>
    <format dxfId="13">
      <pivotArea dataOnly="0" labelOnly="1" fieldPosition="0">
        <references count="2">
          <reference field="30" count="1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32" count="1" selected="0">
            <x v="2"/>
          </reference>
        </references>
      </pivotArea>
    </format>
  </formats>
  <pivotTableStyleInfo name="Flattened Pivot Style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D5E25F7-B2E5-4332-9348-E24186986526}" name="PivotTable2" cacheId="0" applyNumberFormats="0" applyBorderFormats="0" applyFontFormats="0" applyPatternFormats="0" applyAlignmentFormats="0" applyWidthHeightFormats="1" dataCaption="Values" updatedVersion="8" minRefreshableVersion="3" itemPrintTitles="1" createdVersion="8" indent="0" outline="1" outlineData="1" multipleFieldFilters="0" rowHeaderCaption="Cash, € ">
  <location ref="C21:Q29" firstHeaderRow="1" firstDataRow="3" firstDataCol="1"/>
  <pivotFields count="33">
    <pivotField showAll="0" defaultSubtotal="0">
      <items count="14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0"/>
      </items>
    </pivotField>
    <pivotField showAll="0" defaultSubtotal="0">
      <items count="15"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0"/>
        <item x="1"/>
        <item x="2"/>
      </items>
    </pivotField>
    <pivotField axis="axisRow" showAll="0" defaultSubtotal="0">
      <items count="6">
        <item x="1"/>
        <item x="4"/>
        <item x="2"/>
        <item x="5"/>
        <item h="1" x="0"/>
        <item x="3"/>
      </items>
    </pivotField>
    <pivotField showAll="0" defaultSubtotal="0"/>
    <pivotField showAll="0" defaultSubtotal="0"/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dataField="1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dragToRow="0" dragToCol="0" dragToPage="0" showAll="0" defaultSubtotal="0"/>
    <pivotField showAll="0" defaultSubtotal="0">
      <items count="14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</items>
    </pivotField>
    <pivotField showAll="0" defaultSubtotal="0">
      <items count="6">
        <item sd="0" x="1"/>
        <item sd="0" x="2"/>
        <item sd="0" x="3"/>
        <item sd="0" x="4"/>
        <item x="0"/>
        <item x="5"/>
      </items>
    </pivotField>
    <pivotField showAll="0" defaultSubtotal="0">
      <items count="5">
        <item sd="0" x="2"/>
        <item sd="0" x="3"/>
        <item x="0"/>
        <item x="1"/>
        <item x="4"/>
      </items>
    </pivotField>
    <pivotField axis="axisCol" showAll="0" defaultSubtotal="0">
      <items count="14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</items>
    </pivotField>
    <pivotField showAll="0" defaultSubtotal="0">
      <items count="6">
        <item sd="0" x="0"/>
        <item sd="0" x="1"/>
        <item sd="0" x="2"/>
        <item sd="0" x="3"/>
        <item sd="0" x="4"/>
        <item x="5"/>
      </items>
    </pivotField>
    <pivotField axis="axisCol" showAll="0" defaultSubtotal="0">
      <items count="4">
        <item sd="0" x="0"/>
        <item x="1"/>
        <item x="2"/>
        <item x="3"/>
      </items>
    </pivotField>
  </pivotFields>
  <rowFields count="1">
    <field x="2"/>
  </rowFields>
  <rowItems count="6">
    <i>
      <x/>
    </i>
    <i>
      <x v="1"/>
    </i>
    <i>
      <x v="2"/>
    </i>
    <i>
      <x v="3"/>
    </i>
    <i>
      <x v="5"/>
    </i>
    <i t="grand">
      <x/>
    </i>
  </rowItems>
  <colFields count="2">
    <field x="32"/>
    <field x="30"/>
  </colFields>
  <colItems count="14">
    <i>
      <x v="1"/>
      <x v="12"/>
    </i>
    <i>
      <x v="2"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t="grand">
      <x/>
    </i>
  </colItems>
  <dataFields count="1">
    <dataField name="Cash, € " fld="18" baseField="0" baseItem="0" numFmtId="167"/>
  </dataFields>
  <formats count="81">
    <format dxfId="391">
      <pivotArea dataOnly="0" grandCol="1" outline="0" fieldPosition="0"/>
    </format>
    <format dxfId="390">
      <pivotArea dataOnly="0" outline="0" fieldPosition="0">
        <references count="1">
          <reference field="32" count="1">
            <x v="1"/>
          </reference>
        </references>
      </pivotArea>
    </format>
    <format dxfId="389">
      <pivotArea dataOnly="0" labelOnly="1" fieldPosition="0">
        <references count="2">
          <reference field="30" count="1">
            <x v="12"/>
          </reference>
          <reference field="32" count="1" selected="0">
            <x v="1"/>
          </reference>
        </references>
      </pivotArea>
    </format>
    <format dxfId="388">
      <pivotArea outline="0" collapsedLevelsAreSubtotals="1" fieldPosition="0"/>
    </format>
    <format dxfId="387">
      <pivotArea dataOnly="0" labelOnly="1" grandCol="1" outline="0" fieldPosition="0"/>
    </format>
    <format dxfId="386">
      <pivotArea dataOnly="0" labelOnly="1" fieldPosition="0">
        <references count="2">
          <reference field="30" count="1">
            <x v="12"/>
          </reference>
          <reference field="32" count="1" selected="0">
            <x v="1"/>
          </reference>
        </references>
      </pivotArea>
    </format>
    <format dxfId="385">
      <pivotArea dataOnly="0" labelOnly="1" fieldPosition="0">
        <references count="2">
          <reference field="30" count="1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32" count="1" selected="0">
            <x v="2"/>
          </reference>
        </references>
      </pivotArea>
    </format>
    <format dxfId="384">
      <pivotArea outline="0" collapsedLevelsAreSubtotals="1" fieldPosition="0"/>
    </format>
    <format dxfId="383">
      <pivotArea field="32" type="button" dataOnly="0" labelOnly="1" outline="0" axis="axisCol" fieldPosition="0"/>
    </format>
    <format dxfId="382">
      <pivotArea field="30" type="button" dataOnly="0" labelOnly="1" outline="0" axis="axisCol" fieldPosition="1"/>
    </format>
    <format dxfId="381">
      <pivotArea type="topRight" dataOnly="0" labelOnly="1" outline="0" fieldPosition="0"/>
    </format>
    <format dxfId="380">
      <pivotArea dataOnly="0" labelOnly="1" fieldPosition="0">
        <references count="1">
          <reference field="32" count="2">
            <x v="1"/>
            <x v="2"/>
          </reference>
        </references>
      </pivotArea>
    </format>
    <format dxfId="379">
      <pivotArea dataOnly="0" labelOnly="1" grandCol="1" outline="0" fieldPosition="0"/>
    </format>
    <format dxfId="378">
      <pivotArea dataOnly="0" labelOnly="1" fieldPosition="0">
        <references count="2">
          <reference field="30" count="1">
            <x v="12"/>
          </reference>
          <reference field="32" count="1" selected="0">
            <x v="1"/>
          </reference>
        </references>
      </pivotArea>
    </format>
    <format dxfId="377">
      <pivotArea dataOnly="0" labelOnly="1" fieldPosition="0">
        <references count="2">
          <reference field="30" count="1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32" count="1" selected="0">
            <x v="2"/>
          </reference>
        </references>
      </pivotArea>
    </format>
    <format dxfId="376">
      <pivotArea outline="0" collapsedLevelsAreSubtotals="1" fieldPosition="0"/>
    </format>
    <format dxfId="375">
      <pivotArea dataOnly="0" labelOnly="1" fieldPosition="0">
        <references count="2">
          <reference field="30" count="1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32" count="1" selected="0">
            <x v="2"/>
          </reference>
        </references>
      </pivotArea>
    </format>
    <format dxfId="374">
      <pivotArea dataOnly="0" labelOnly="1" fieldPosition="0">
        <references count="1">
          <reference field="2" count="0"/>
        </references>
      </pivotArea>
    </format>
    <format dxfId="373">
      <pivotArea collapsedLevelsAreSubtotals="1" fieldPosition="0">
        <references count="1">
          <reference field="2" count="1">
            <x v="1"/>
          </reference>
        </references>
      </pivotArea>
    </format>
    <format dxfId="372">
      <pivotArea dataOnly="0" labelOnly="1" fieldPosition="0">
        <references count="1">
          <reference field="2" count="1">
            <x v="1"/>
          </reference>
        </references>
      </pivotArea>
    </format>
    <format dxfId="371">
      <pivotArea outline="0" collapsedLevelsAreSubtotals="1" fieldPosition="0">
        <references count="2">
          <reference field="30" count="1" selected="0">
            <x v="3"/>
          </reference>
          <reference field="32" count="1" selected="0">
            <x v="2"/>
          </reference>
        </references>
      </pivotArea>
    </format>
    <format dxfId="370">
      <pivotArea dataOnly="0" labelOnly="1" fieldPosition="0">
        <references count="2">
          <reference field="30" count="1">
            <x v="3"/>
          </reference>
          <reference field="32" count="1" selected="0">
            <x v="2"/>
          </reference>
        </references>
      </pivotArea>
    </format>
    <format dxfId="369">
      <pivotArea dataOnly="0" grandRow="1" axis="axisRow" fieldPosition="0"/>
    </format>
    <format dxfId="368">
      <pivotArea dataOnly="0" grandRow="1" axis="axisRow" fieldPosition="0"/>
    </format>
    <format dxfId="367">
      <pivotArea grandRow="1" outline="0" collapsedLevelsAreSubtotals="1" fieldPosition="0"/>
    </format>
    <format dxfId="366">
      <pivotArea dataOnly="0" labelOnly="1" grandRow="1" outline="0" fieldPosition="0"/>
    </format>
    <format dxfId="365">
      <pivotArea type="all" dataOnly="0" outline="0" fieldPosition="0"/>
    </format>
    <format dxfId="364">
      <pivotArea outline="0" collapsedLevelsAreSubtotals="1" fieldPosition="0"/>
    </format>
    <format dxfId="363">
      <pivotArea type="origin" dataOnly="0" labelOnly="1" outline="0" fieldPosition="0"/>
    </format>
    <format dxfId="362">
      <pivotArea field="32" type="button" dataOnly="0" labelOnly="1" outline="0" axis="axisCol" fieldPosition="0"/>
    </format>
    <format dxfId="361">
      <pivotArea field="30" type="button" dataOnly="0" labelOnly="1" outline="0" axis="axisCol" fieldPosition="1"/>
    </format>
    <format dxfId="360">
      <pivotArea type="topRight" dataOnly="0" labelOnly="1" outline="0" fieldPosition="0"/>
    </format>
    <format dxfId="359">
      <pivotArea field="2" type="button" dataOnly="0" labelOnly="1" outline="0" axis="axisRow" fieldPosition="0"/>
    </format>
    <format dxfId="358">
      <pivotArea dataOnly="0" labelOnly="1" fieldPosition="0">
        <references count="1">
          <reference field="2" count="0"/>
        </references>
      </pivotArea>
    </format>
    <format dxfId="357">
      <pivotArea dataOnly="0" labelOnly="1" grandRow="1" outline="0" fieldPosition="0"/>
    </format>
    <format dxfId="356">
      <pivotArea dataOnly="0" labelOnly="1" fieldPosition="0">
        <references count="1">
          <reference field="32" count="2">
            <x v="1"/>
            <x v="2"/>
          </reference>
        </references>
      </pivotArea>
    </format>
    <format dxfId="355">
      <pivotArea dataOnly="0" labelOnly="1" grandCol="1" outline="0" fieldPosition="0"/>
    </format>
    <format dxfId="354">
      <pivotArea dataOnly="0" labelOnly="1" fieldPosition="0">
        <references count="2">
          <reference field="30" count="1">
            <x v="12"/>
          </reference>
          <reference field="32" count="1" selected="0">
            <x v="1"/>
          </reference>
        </references>
      </pivotArea>
    </format>
    <format dxfId="353">
      <pivotArea dataOnly="0" labelOnly="1" fieldPosition="0">
        <references count="2">
          <reference field="30" count="1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32" count="1" selected="0">
            <x v="2"/>
          </reference>
        </references>
      </pivotArea>
    </format>
    <format dxfId="352">
      <pivotArea dataOnly="0" labelOnly="1" fieldPosition="0">
        <references count="1">
          <reference field="2" count="0"/>
        </references>
      </pivotArea>
    </format>
    <format dxfId="351">
      <pivotArea outline="0" collapsedLevelsAreSubtotals="1" fieldPosition="0"/>
    </format>
    <format dxfId="350">
      <pivotArea outline="0" collapsedLevelsAreSubtotals="1" fieldPosition="0"/>
    </format>
    <format dxfId="349">
      <pivotArea field="32" type="button" dataOnly="0" labelOnly="1" outline="0" axis="axisCol" fieldPosition="0"/>
    </format>
    <format dxfId="348">
      <pivotArea field="30" type="button" dataOnly="0" labelOnly="1" outline="0" axis="axisCol" fieldPosition="1"/>
    </format>
    <format dxfId="347">
      <pivotArea type="topRight" dataOnly="0" labelOnly="1" outline="0" fieldPosition="0"/>
    </format>
    <format dxfId="346">
      <pivotArea dataOnly="0" labelOnly="1" fieldPosition="0">
        <references count="1">
          <reference field="32" count="2">
            <x v="1"/>
            <x v="2"/>
          </reference>
        </references>
      </pivotArea>
    </format>
    <format dxfId="345">
      <pivotArea dataOnly="0" labelOnly="1" grandCol="1" outline="0" fieldPosition="0"/>
    </format>
    <format dxfId="344">
      <pivotArea dataOnly="0" labelOnly="1" fieldPosition="0">
        <references count="2">
          <reference field="30" count="1">
            <x v="12"/>
          </reference>
          <reference field="32" count="1" selected="0">
            <x v="1"/>
          </reference>
        </references>
      </pivotArea>
    </format>
    <format dxfId="343">
      <pivotArea dataOnly="0" labelOnly="1" fieldPosition="0">
        <references count="2">
          <reference field="30" count="1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32" count="1" selected="0">
            <x v="2"/>
          </reference>
        </references>
      </pivotArea>
    </format>
    <format dxfId="342">
      <pivotArea grandRow="1" grandCol="1" outline="0" collapsedLevelsAreSubtotals="1" fieldPosition="0"/>
    </format>
    <format dxfId="341">
      <pivotArea grandCol="1" outline="0" collapsedLevelsAreSubtotals="1" fieldPosition="0"/>
    </format>
    <format dxfId="340">
      <pivotArea type="topRight" dataOnly="0" labelOnly="1" outline="0" offset="L1" fieldPosition="0"/>
    </format>
    <format dxfId="339">
      <pivotArea dataOnly="0" labelOnly="1" grandCol="1" outline="0" fieldPosition="0"/>
    </format>
    <format dxfId="105">
      <pivotArea collapsedLevelsAreSubtotals="1" fieldPosition="0">
        <references count="3">
          <reference field="2" count="1">
            <x v="1"/>
          </reference>
          <reference field="30" count="1" selected="0">
            <x v="2"/>
          </reference>
          <reference field="32" count="1" selected="0">
            <x v="2"/>
          </reference>
        </references>
      </pivotArea>
    </format>
    <format dxfId="104">
      <pivotArea collapsedLevelsAreSubtotals="1" fieldPosition="0">
        <references count="3">
          <reference field="2" count="1">
            <x v="1"/>
          </reference>
          <reference field="30" count="1" selected="0">
            <x v="2"/>
          </reference>
          <reference field="32" count="1" selected="0">
            <x v="2"/>
          </reference>
        </references>
      </pivotArea>
    </format>
    <format dxfId="64">
      <pivotArea type="all" dataOnly="0" outline="0" fieldPosition="0"/>
    </format>
    <format dxfId="63">
      <pivotArea outline="0" collapsedLevelsAreSubtotals="1" fieldPosition="0"/>
    </format>
    <format dxfId="62">
      <pivotArea type="origin" dataOnly="0" labelOnly="1" outline="0" fieldPosition="0"/>
    </format>
    <format dxfId="61">
      <pivotArea field="32" type="button" dataOnly="0" labelOnly="1" outline="0" axis="axisCol" fieldPosition="0"/>
    </format>
    <format dxfId="60">
      <pivotArea field="30" type="button" dataOnly="0" labelOnly="1" outline="0" axis="axisCol" fieldPosition="1"/>
    </format>
    <format dxfId="59">
      <pivotArea type="topRight" dataOnly="0" labelOnly="1" outline="0" fieldPosition="0"/>
    </format>
    <format dxfId="58">
      <pivotArea field="2" type="button" dataOnly="0" labelOnly="1" outline="0" axis="axisRow" fieldPosition="0"/>
    </format>
    <format dxfId="57">
      <pivotArea dataOnly="0" labelOnly="1" fieldPosition="0">
        <references count="1">
          <reference field="2" count="0"/>
        </references>
      </pivotArea>
    </format>
    <format dxfId="56">
      <pivotArea dataOnly="0" labelOnly="1" grandRow="1" outline="0" fieldPosition="0"/>
    </format>
    <format dxfId="55">
      <pivotArea dataOnly="0" labelOnly="1" fieldPosition="0">
        <references count="1">
          <reference field="32" count="2">
            <x v="1"/>
            <x v="2"/>
          </reference>
        </references>
      </pivotArea>
    </format>
    <format dxfId="54">
      <pivotArea dataOnly="0" labelOnly="1" grandCol="1" outline="0" fieldPosition="0"/>
    </format>
    <format dxfId="53">
      <pivotArea dataOnly="0" labelOnly="1" fieldPosition="0">
        <references count="2">
          <reference field="30" count="1">
            <x v="12"/>
          </reference>
          <reference field="32" count="1" selected="0">
            <x v="1"/>
          </reference>
        </references>
      </pivotArea>
    </format>
    <format dxfId="52">
      <pivotArea dataOnly="0" labelOnly="1" fieldPosition="0">
        <references count="2">
          <reference field="30" count="1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32" count="1" selected="0">
            <x v="2"/>
          </reference>
        </references>
      </pivotArea>
    </format>
    <format dxfId="12">
      <pivotArea type="all" dataOnly="0" outline="0" fieldPosition="0"/>
    </format>
    <format dxfId="11">
      <pivotArea outline="0" collapsedLevelsAreSubtotals="1" fieldPosition="0"/>
    </format>
    <format dxfId="10">
      <pivotArea type="origin" dataOnly="0" labelOnly="1" outline="0" fieldPosition="0"/>
    </format>
    <format dxfId="9">
      <pivotArea field="32" type="button" dataOnly="0" labelOnly="1" outline="0" axis="axisCol" fieldPosition="0"/>
    </format>
    <format dxfId="8">
      <pivotArea field="30" type="button" dataOnly="0" labelOnly="1" outline="0" axis="axisCol" fieldPosition="1"/>
    </format>
    <format dxfId="7">
      <pivotArea type="topRight" dataOnly="0" labelOnly="1" outline="0" fieldPosition="0"/>
    </format>
    <format dxfId="6">
      <pivotArea field="2" type="button" dataOnly="0" labelOnly="1" outline="0" axis="axisRow" fieldPosition="0"/>
    </format>
    <format dxfId="5">
      <pivotArea dataOnly="0" labelOnly="1" fieldPosition="0">
        <references count="1">
          <reference field="2" count="0"/>
        </references>
      </pivotArea>
    </format>
    <format dxfId="4">
      <pivotArea dataOnly="0" labelOnly="1" grandRow="1" outline="0" fieldPosition="0"/>
    </format>
    <format dxfId="3">
      <pivotArea dataOnly="0" labelOnly="1" fieldPosition="0">
        <references count="1">
          <reference field="32" count="2">
            <x v="1"/>
            <x v="2"/>
          </reference>
        </references>
      </pivotArea>
    </format>
    <format dxfId="2">
      <pivotArea dataOnly="0" labelOnly="1" grandCol="1" outline="0" fieldPosition="0"/>
    </format>
    <format dxfId="1">
      <pivotArea dataOnly="0" labelOnly="1" fieldPosition="0">
        <references count="2">
          <reference field="30" count="1">
            <x v="12"/>
          </reference>
          <reference field="32" count="1" selected="0">
            <x v="1"/>
          </reference>
        </references>
      </pivotArea>
    </format>
    <format dxfId="0">
      <pivotArea dataOnly="0" labelOnly="1" fieldPosition="0">
        <references count="2">
          <reference field="30" count="1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32" count="1" selected="0">
            <x v="2"/>
          </reference>
        </references>
      </pivotArea>
    </format>
  </formats>
  <pivotTableStyleInfo name="Flattened Pivot Style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9FE86F7-22ED-408B-8C9D-994EDFE0C045}" name="PivotTable1" cacheId="0" applyNumberFormats="0" applyBorderFormats="0" applyFontFormats="0" applyPatternFormats="0" applyAlignmentFormats="0" applyWidthHeightFormats="1" dataCaption="Values" updatedVersion="8" minRefreshableVersion="3" showDrill="0" itemPrintTitles="1" createdVersion="8" indent="0" compact="0" compactData="0" multipleFieldFilters="0" rowHeaderCaption="Associate">
  <location ref="C23:I29" firstHeaderRow="0" firstDataRow="1" firstDataCol="1"/>
  <pivotFields count="33">
    <pivotField compact="0" outline="0" showAll="0">
      <items count="15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0"/>
        <item t="default"/>
      </items>
    </pivotField>
    <pivotField compact="0" outline="0" showAll="0">
      <items count="16"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0"/>
        <item x="1"/>
        <item x="2"/>
        <item t="default"/>
      </items>
    </pivotField>
    <pivotField name="Participant" axis="axisRow" compact="0" outline="0" showAll="0">
      <items count="7">
        <item h="1" x="0"/>
        <item x="1"/>
        <item x="4"/>
        <item x="2"/>
        <item x="5"/>
        <item x="3"/>
        <item t="default"/>
      </items>
    </pivotField>
    <pivotField compact="0" outline="0" showAll="0"/>
    <pivotField name="Amount, €2" dataField="1" compact="0" outline="0" showAll="0"/>
    <pivotField compact="0" showAll="0">
      <items count="5">
        <item h="1" x="0"/>
        <item x="2"/>
        <item x="1"/>
        <item h="1" x="3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66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name="Cash, €2" dataField="1" compact="0" outline="0" showAll="0" defaultSubtotal="0"/>
    <pivotField compact="0" outline="0" showAll="0"/>
    <pivotField compact="0" outline="0" showAll="0"/>
    <pivotField compact="0" outline="0" showAll="0"/>
    <pivotField dataField="1" compact="0" numFmtId="169" outline="0" showAll="0"/>
    <pivotField compact="0" outline="0" showAll="0"/>
    <pivotField dataField="1" compact="0" outline="0" showAll="0"/>
    <pivotField dataField="1" compact="0" outline="0" showAll="0"/>
    <pivotField dataField="1" compact="0" outline="0" dragToRow="0" dragToCol="0" dragToPage="0" showAll="0" defaultSubtotal="0"/>
    <pivotField compact="0" outline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compact="0" outline="0" showAll="0">
      <items count="7">
        <item x="1"/>
        <item x="2"/>
        <item x="3"/>
        <item x="4"/>
        <item x="0"/>
        <item x="5"/>
        <item t="default"/>
      </items>
    </pivotField>
    <pivotField compact="0" outline="0" showAll="0">
      <items count="6">
        <item x="2"/>
        <item x="3"/>
        <item x="0"/>
        <item x="1"/>
        <item x="4"/>
        <item t="default"/>
      </items>
    </pivotField>
    <pivotField compact="0" outline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compact="0" outline="0" showAll="0">
      <items count="7">
        <item x="0"/>
        <item x="1"/>
        <item x="2"/>
        <item x="3"/>
        <item x="4"/>
        <item x="5"/>
        <item t="default"/>
      </items>
    </pivotField>
    <pivotField compact="0" outline="0" showAll="0">
      <items count="5">
        <item x="0"/>
        <item x="1"/>
        <item x="2"/>
        <item x="3"/>
        <item t="default"/>
      </items>
    </pivotField>
  </pivotFields>
  <rowFields count="1">
    <field x="2"/>
  </rowFields>
  <rowItems count="6"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Amount €" fld="4" baseField="0" baseItem="0"/>
    <dataField name="Cash, €" fld="18" baseField="0" baseItem="0"/>
    <dataField name="Credit, € " fld="25" baseField="0" baseItem="0"/>
    <dataField name="Cash, % " fld="26" baseField="0" baseItem="0" numFmtId="171"/>
    <dataField name="Tokens Issued, # " fld="24" baseField="0" baseItem="0" numFmtId="174"/>
    <dataField name="Token, €_x000a_on issue" fld="22" baseField="0" baseItem="0"/>
  </dataFields>
  <formats count="48">
    <format dxfId="153">
      <pivotArea field="2" type="button" dataOnly="0" labelOnly="1" outline="0" axis="axisRow" fieldPosition="0"/>
    </format>
    <format dxfId="152">
      <pivotArea outline="0" collapsedLevelsAreSubtotals="1" fieldPosition="0"/>
    </format>
    <format dxfId="151">
      <pivotArea field="2" type="button" dataOnly="0" labelOnly="1" outline="0" axis="axisRow" fieldPosition="0"/>
    </format>
    <format dxfId="150">
      <pivotArea field="2" type="button" dataOnly="0" labelOnly="1" outline="0" axis="axisRow" fieldPosition="0"/>
    </format>
    <format dxfId="149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148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147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146">
      <pivotArea outline="0" collapsedLevelsAreSubtotals="1" fieldPosition="0">
        <references count="1">
          <reference field="4294967294" count="1" selected="0">
            <x v="5"/>
          </reference>
        </references>
      </pivotArea>
    </format>
    <format dxfId="145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144">
      <pivotArea outline="0" collapsedLevelsAreSubtotals="1" fieldPosition="0">
        <references count="1">
          <reference field="4294967294" count="1" selected="0">
            <x v="5"/>
          </reference>
        </references>
      </pivotArea>
    </format>
    <format dxfId="143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142">
      <pivotArea outline="0" collapsedLevelsAreSubtotals="1" fieldPosition="0">
        <references count="1">
          <reference field="4294967294" count="1" selected="0">
            <x v="5"/>
          </reference>
        </references>
      </pivotArea>
    </format>
    <format dxfId="141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140">
      <pivotArea outline="0" collapsedLevelsAreSubtotals="1" fieldPosition="0">
        <references count="1">
          <reference field="4294967294" count="1" selected="0">
            <x v="5"/>
          </reference>
        </references>
      </pivotArea>
    </format>
    <format dxfId="139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138">
      <pivotArea field="5" type="button" dataOnly="0" labelOnly="1" outline="0"/>
    </format>
    <format dxfId="137">
      <pivotArea field="5" type="button" dataOnly="0" labelOnly="1" outline="0"/>
    </format>
    <format dxfId="136">
      <pivotArea field="5" type="button" dataOnly="0" labelOnly="1" outline="0"/>
    </format>
    <format dxfId="135">
      <pivotArea dataOnly="0" labelOnly="1" outline="0" fieldPosition="0">
        <references count="1">
          <reference field="4294967294" count="4">
            <x v="0"/>
            <x v="1"/>
            <x v="3"/>
            <x v="4"/>
          </reference>
        </references>
      </pivotArea>
    </format>
    <format dxfId="134">
      <pivotArea outline="0" fieldPosition="0">
        <references count="1">
          <reference field="4294967294" count="1" selected="0">
            <x v="4"/>
          </reference>
        </references>
      </pivotArea>
    </format>
    <format dxfId="133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132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131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130">
      <pivotArea outline="0" fieldPosition="0">
        <references count="1">
          <reference field="4294967294" count="1" selected="0">
            <x v="3"/>
          </reference>
        </references>
      </pivotArea>
    </format>
    <format dxfId="129">
      <pivotArea type="all" dataOnly="0" outline="0" fieldPosition="0"/>
    </format>
    <format dxfId="128">
      <pivotArea outline="0" collapsedLevelsAreSubtotals="1" fieldPosition="0"/>
    </format>
    <format dxfId="127">
      <pivotArea field="5" type="button" dataOnly="0" labelOnly="1" outline="0"/>
    </format>
    <format dxfId="126">
      <pivotArea field="2" type="button" dataOnly="0" labelOnly="1" outline="0" axis="axisRow" fieldPosition="0"/>
    </format>
    <format dxfId="125">
      <pivotArea dataOnly="0" labelOnly="1" grandRow="1" outline="0" fieldPosition="0"/>
    </format>
    <format dxfId="124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23">
      <pivotArea type="all" dataOnly="0" outline="0" fieldPosition="0"/>
    </format>
    <format dxfId="122">
      <pivotArea outline="0" collapsedLevelsAreSubtotals="1" fieldPosition="0"/>
    </format>
    <format dxfId="121">
      <pivotArea field="5" type="button" dataOnly="0" labelOnly="1" outline="0"/>
    </format>
    <format dxfId="120">
      <pivotArea field="2" type="button" dataOnly="0" labelOnly="1" outline="0" axis="axisRow" fieldPosition="0"/>
    </format>
    <format dxfId="119">
      <pivotArea dataOnly="0" labelOnly="1" grandRow="1" outline="0" fieldPosition="0"/>
    </format>
    <format dxfId="118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17">
      <pivotArea field="5" grandRow="1" outline="0">
        <references count="1">
          <reference field="4294967294" count="1" selected="0">
            <x v="3"/>
          </reference>
        </references>
      </pivotArea>
    </format>
    <format dxfId="116">
      <pivotArea outline="0" fieldPosition="0">
        <references count="1">
          <reference field="2" count="1" selected="0">
            <x v="2"/>
          </reference>
        </references>
      </pivotArea>
    </format>
    <format dxfId="115">
      <pivotArea dataOnly="0" labelOnly="1" outline="0" fieldPosition="0">
        <references count="1">
          <reference field="2" count="1">
            <x v="2"/>
          </reference>
        </references>
      </pivotArea>
    </format>
    <format dxfId="114">
      <pivotArea grandRow="1" outline="0" collapsedLevelsAreSubtotals="1" fieldPosition="0"/>
    </format>
    <format dxfId="113">
      <pivotArea dataOnly="0" labelOnly="1" grandRow="1" outline="0" fieldPosition="0"/>
    </format>
    <format dxfId="112">
      <pivotArea field="2" grandRow="1" outline="0" axis="axisRow" fieldPosition="0">
        <references count="1">
          <reference field="4294967294" count="1" selected="0">
            <x v="3"/>
          </reference>
        </references>
      </pivotArea>
    </format>
    <format dxfId="111">
      <pivotArea dataOnly="0" labelOnly="1" outline="0" fieldPosition="0">
        <references count="1">
          <reference field="2" count="0"/>
        </references>
      </pivotArea>
    </format>
    <format dxfId="110">
      <pivotArea field="2" type="button" dataOnly="0" labelOnly="1" outline="0" axis="axisRow" fieldPosition="0"/>
    </format>
    <format dxfId="109">
      <pivotArea field="2" type="button" dataOnly="0" labelOnly="1" outline="0" axis="axisRow" fieldPosition="0"/>
    </format>
    <format dxfId="108">
      <pivotArea field="2" type="button" dataOnly="0" labelOnly="1" outline="0" axis="axisRow" fieldPosition="0"/>
    </format>
    <format dxfId="107">
      <pivotArea field="2" type="button" dataOnly="0" labelOnly="1" outline="0" axis="axisRow" fieldPosition="0"/>
    </format>
    <format dxfId="106">
      <pivotArea field="2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D107295-F76C-4F1F-B1DA-1311CD3B013B}" name="contract_type" displayName="contract_type" ref="G3:L10" totalsRowShown="0" headerRowDxfId="162" dataDxfId="160" headerRowBorderDxfId="161" headerRowCellStyle="Normal_Sheet2">
  <autoFilter ref="G3:L10" xr:uid="{0D107295-F76C-4F1F-B1DA-1311CD3B013B}"/>
  <tableColumns count="6">
    <tableColumn id="1" xr3:uid="{ADFE7766-B0EF-413F-AB49-DF0D3DE5A4AF}" name="Type" dataDxfId="159"/>
    <tableColumn id="2" xr3:uid="{F81CB070-056E-4125-BC09-03C65ACA1699}" name="Nature" dataDxfId="158"/>
    <tableColumn id="3" xr3:uid="{A9E419C7-C959-4607-AE35-AB73EB1718D2}" name="Cash, %" dataDxfId="157"/>
    <tableColumn id="4" xr3:uid="{7523D29F-A56D-4011-B214-370E369FF29F}" name="Flex, %" dataDxfId="156"/>
    <tableColumn id="5" xr3:uid="{ABBB2516-5398-497B-BDBA-A4BFADDC5450}" name="Credit, %" dataDxfId="155"/>
    <tableColumn id="6" xr3:uid="{CD5BCD79-4269-443C-86BA-1A0CAA9CA68C}" name="Total, %" dataDxfId="154">
      <calculatedColumnFormula>SUM(I4:K4)</calculatedColumnFormula>
    </tableColumn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2" Type="http://schemas.microsoft.com/office/2011/relationships/webextension" Target="webextension2.xml"/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8">
    <wetp:webextensionref xmlns:r="http://schemas.openxmlformats.org/officeDocument/2006/relationships" r:id="rId1"/>
  </wetp:taskpane>
  <wetp:taskpane dockstate="right" visibility="0" width="350" row="9">
    <wetp:webextensionref xmlns:r="http://schemas.openxmlformats.org/officeDocument/2006/relationships" r:id="rId2"/>
  </wetp:taskpane>
</wetp:taskpanes>
</file>

<file path=xl/webextensions/webextension1.xml><?xml version="1.0" encoding="utf-8"?>
<we:webextension xmlns:we="http://schemas.microsoft.com/office/webextensions/webextension/2010/11" id="{54778F41-DD4A-441D-8F6F-E415D6877E14}">
  <we:reference id="wa104380330" version="1.3.0.1" store="en-US" storeType="OMEX"/>
  <we:alternateReferences>
    <we:reference id="WA104380330" version="1.3.0.1" store="WA104380330" storeType="OMEX"/>
  </we:alternateReferences>
  <we:properties>
    <we:property name="RuntimeConfig" value="{&quot;HostName&quot;:&quot;&quot;,&quot;Applets&quot;:{},&quot;ActiveAppletId&quot;:&quot;&quot;,&quot;Language&quot;:&quot;EN-US&quot;,&quot;DocumentId&quot;:&quot;75cabcef-99f1-4e73-a487-9b1e59ad0185&quot;,&quot;DateCreated&quot;:&quot;2019-02-22T08:52:28.571Z&quot;,&quot;GenerationActivityId&quot;:&quot;&quot;}"/>
    <we:property name="Features" value="{&quot;LogDomEvents&quot;:false,&quot;LogTelemetry&quot;:true}"/>
  </we:properties>
  <we:bindings/>
  <we:snapshot xmlns:r="http://schemas.openxmlformats.org/officeDocument/2006/relationships"/>
</we:webextension>
</file>

<file path=xl/webextensions/webextension2.xml><?xml version="1.0" encoding="utf-8"?>
<we:webextension xmlns:we="http://schemas.microsoft.com/office/webextensions/webextension/2010/11" id="{DF90A885-3BB2-4671-B21C-6F9F238FCB4B}">
  <we:reference id="wa104142491" version="3.1.1.0" store="en-US" storeType="OMEX"/>
  <we:alternateReferences>
    <we:reference id="WA104142491" version="3.1.1.0" store="WA104142491" storeType="OMEX"/>
  </we:alternateReferences>
  <we:properties/>
  <we:bindings>
    <we:binding id="2DTableRange" type="matrix" appref="{39CC403C-A030-4129-8F25-296ADF88D22C}"/>
  </we:bindings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pivotTable" Target="../pivotTables/pivotTable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DA68D-7692-4032-B894-E67D601BF0E5}">
  <sheetPr codeName="Sheet3"/>
  <dimension ref="A1:AN100"/>
  <sheetViews>
    <sheetView showGridLines="0" tabSelected="1" topLeftCell="B78" zoomScale="115" zoomScaleNormal="115" workbookViewId="0">
      <selection activeCell="E103" sqref="E103"/>
    </sheetView>
  </sheetViews>
  <sheetFormatPr defaultColWidth="9.140625" defaultRowHeight="16.5" customHeight="1" outlineLevelRow="1" outlineLevelCol="1" x14ac:dyDescent="0.25"/>
  <cols>
    <col min="1" max="1" width="6.28515625" style="196" hidden="1" customWidth="1" outlineLevel="1"/>
    <col min="2" max="2" width="6.28515625" style="196" customWidth="1" collapsed="1"/>
    <col min="3" max="3" width="18.42578125" style="196" customWidth="1"/>
    <col min="4" max="17" width="9" style="198" customWidth="1"/>
    <col min="18" max="18" width="8" style="196" customWidth="1"/>
    <col min="19" max="19" width="9.140625" style="196"/>
    <col min="20" max="20" width="9" style="196" customWidth="1" outlineLevel="1"/>
    <col min="21" max="21" width="8.42578125" style="196" customWidth="1" outlineLevel="1"/>
    <col min="22" max="22" width="8.5703125" style="196" customWidth="1" outlineLevel="1"/>
    <col min="23" max="27" width="7.7109375" style="196" customWidth="1" outlineLevel="1"/>
    <col min="28" max="28" width="7.7109375" style="196" customWidth="1"/>
    <col min="29" max="29" width="9.140625" style="196" customWidth="1"/>
    <col min="30" max="30" width="9.28515625" style="196" customWidth="1"/>
    <col min="31" max="35" width="7.7109375" style="196" customWidth="1"/>
    <col min="36" max="16384" width="9.140625" style="196"/>
  </cols>
  <sheetData>
    <row r="1" spans="1:33" ht="16.5" customHeight="1" x14ac:dyDescent="0.25">
      <c r="B1" s="197" t="s">
        <v>158</v>
      </c>
    </row>
    <row r="3" spans="1:33" ht="16.5" customHeight="1" x14ac:dyDescent="0.25">
      <c r="B3" s="199" t="s">
        <v>159</v>
      </c>
      <c r="C3" s="200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0"/>
      <c r="S3" s="200"/>
    </row>
    <row r="5" spans="1:33" ht="16.5" customHeight="1" x14ac:dyDescent="0.25">
      <c r="D5" s="202" t="s">
        <v>104</v>
      </c>
      <c r="E5" s="203" t="s">
        <v>93</v>
      </c>
      <c r="F5" s="203" t="s">
        <v>94</v>
      </c>
      <c r="G5" s="203" t="s">
        <v>95</v>
      </c>
      <c r="H5" s="203" t="s">
        <v>96</v>
      </c>
      <c r="I5" s="203" t="s">
        <v>97</v>
      </c>
      <c r="J5" s="203" t="s">
        <v>98</v>
      </c>
      <c r="K5" s="203" t="s">
        <v>99</v>
      </c>
      <c r="L5" s="203" t="s">
        <v>100</v>
      </c>
      <c r="M5" s="203" t="s">
        <v>101</v>
      </c>
      <c r="N5" s="203" t="s">
        <v>102</v>
      </c>
      <c r="O5" s="203" t="s">
        <v>103</v>
      </c>
      <c r="P5" s="203" t="s">
        <v>104</v>
      </c>
      <c r="Q5" s="204" t="s">
        <v>137</v>
      </c>
    </row>
    <row r="6" spans="1:33" ht="16.5" customHeight="1" x14ac:dyDescent="0.25">
      <c r="C6" s="205" t="s">
        <v>126</v>
      </c>
      <c r="D6" s="206">
        <v>10</v>
      </c>
      <c r="E6" s="206">
        <f t="shared" ref="E6:P6" si="0">D6*(1+token_inflation)^(1/12)</f>
        <v>10.187692651215061</v>
      </c>
      <c r="F6" s="206">
        <f t="shared" si="0"/>
        <v>10.378908155562137</v>
      </c>
      <c r="G6" s="206">
        <f t="shared" si="0"/>
        <v>10.573712634405645</v>
      </c>
      <c r="H6" s="206">
        <f t="shared" si="0"/>
        <v>10.772173450159423</v>
      </c>
      <c r="I6" s="206">
        <f t="shared" si="0"/>
        <v>10.974359229580315</v>
      </c>
      <c r="J6" s="206">
        <f t="shared" si="0"/>
        <v>11.180339887498956</v>
      </c>
      <c r="K6" s="206">
        <f t="shared" si="0"/>
        <v>11.390186650995973</v>
      </c>
      <c r="L6" s="206">
        <f t="shared" si="0"/>
        <v>11.603972084031957</v>
      </c>
      <c r="M6" s="206">
        <f t="shared" si="0"/>
        <v>11.821770112539708</v>
      </c>
      <c r="N6" s="206">
        <f t="shared" si="0"/>
        <v>12.043656049987463</v>
      </c>
      <c r="O6" s="206">
        <f t="shared" si="0"/>
        <v>12.269706623421909</v>
      </c>
      <c r="P6" s="206">
        <f t="shared" si="0"/>
        <v>12.500000000000014</v>
      </c>
      <c r="Q6" s="198">
        <f>P6</f>
        <v>12.500000000000014</v>
      </c>
    </row>
    <row r="8" spans="1:33" ht="16.5" customHeight="1" x14ac:dyDescent="0.25">
      <c r="A8" s="207"/>
      <c r="B8" s="207"/>
      <c r="C8" s="208" t="s">
        <v>123</v>
      </c>
      <c r="D8" s="202" t="s">
        <v>104</v>
      </c>
      <c r="E8" s="203" t="s">
        <v>93</v>
      </c>
      <c r="F8" s="203" t="s">
        <v>94</v>
      </c>
      <c r="G8" s="203" t="s">
        <v>95</v>
      </c>
      <c r="H8" s="203" t="s">
        <v>96</v>
      </c>
      <c r="I8" s="203" t="s">
        <v>97</v>
      </c>
      <c r="J8" s="203" t="s">
        <v>98</v>
      </c>
      <c r="K8" s="203" t="s">
        <v>99</v>
      </c>
      <c r="L8" s="203" t="s">
        <v>100</v>
      </c>
      <c r="M8" s="203" t="s">
        <v>101</v>
      </c>
      <c r="N8" s="203" t="s">
        <v>102</v>
      </c>
      <c r="O8" s="203" t="s">
        <v>103</v>
      </c>
      <c r="P8" s="203" t="s">
        <v>104</v>
      </c>
      <c r="Q8" s="204" t="s">
        <v>4</v>
      </c>
    </row>
    <row r="9" spans="1:33" ht="16.5" hidden="1" customHeight="1" outlineLevel="1" x14ac:dyDescent="0.25">
      <c r="C9" s="209" t="s">
        <v>107</v>
      </c>
      <c r="D9" s="210" t="s">
        <v>105</v>
      </c>
      <c r="W9" s="211" t="s">
        <v>1</v>
      </c>
      <c r="X9" s="211"/>
      <c r="Y9" s="211"/>
      <c r="Z9" s="196" t="s">
        <v>109</v>
      </c>
      <c r="AA9" s="212" t="s">
        <v>93</v>
      </c>
      <c r="AB9" s="196" t="s">
        <v>104</v>
      </c>
      <c r="AC9" s="212" t="s">
        <v>4</v>
      </c>
    </row>
    <row r="10" spans="1:33" ht="16.5" hidden="1" customHeight="1" outlineLevel="1" collapsed="1" x14ac:dyDescent="0.25">
      <c r="D10" s="213" t="s">
        <v>106</v>
      </c>
      <c r="E10" s="198" t="s">
        <v>92</v>
      </c>
      <c r="Q10" s="214" t="s">
        <v>70</v>
      </c>
      <c r="W10" s="196" t="s">
        <v>13</v>
      </c>
      <c r="AA10" s="215">
        <f>E13</f>
        <v>100</v>
      </c>
      <c r="AB10" s="216">
        <f>P13</f>
        <v>210</v>
      </c>
      <c r="AC10" s="217">
        <f>Q13</f>
        <v>1860</v>
      </c>
    </row>
    <row r="11" spans="1:33" ht="16.5" hidden="1" customHeight="1" outlineLevel="1" collapsed="1" x14ac:dyDescent="0.25">
      <c r="C11" s="218" t="s">
        <v>107</v>
      </c>
      <c r="D11" s="219" t="s">
        <v>104</v>
      </c>
      <c r="E11" s="220" t="s">
        <v>93</v>
      </c>
      <c r="F11" s="221" t="s">
        <v>94</v>
      </c>
      <c r="G11" s="220" t="s">
        <v>95</v>
      </c>
      <c r="H11" s="220" t="s">
        <v>96</v>
      </c>
      <c r="I11" s="220" t="s">
        <v>97</v>
      </c>
      <c r="J11" s="220" t="s">
        <v>98</v>
      </c>
      <c r="K11" s="220" t="s">
        <v>99</v>
      </c>
      <c r="L11" s="220" t="s">
        <v>100</v>
      </c>
      <c r="M11" s="220" t="s">
        <v>101</v>
      </c>
      <c r="N11" s="220" t="s">
        <v>102</v>
      </c>
      <c r="O11" s="220" t="s">
        <v>103</v>
      </c>
      <c r="P11" s="220" t="s">
        <v>104</v>
      </c>
      <c r="Q11" s="214"/>
      <c r="W11" s="222" t="s">
        <v>71</v>
      </c>
      <c r="AA11" s="223">
        <v>10</v>
      </c>
      <c r="AC11" s="217">
        <f>AA11*12</f>
        <v>120</v>
      </c>
      <c r="AE11" s="224" t="s">
        <v>84</v>
      </c>
      <c r="AF11" s="224"/>
      <c r="AG11" s="224"/>
    </row>
    <row r="12" spans="1:33" ht="16.5" customHeight="1" collapsed="1" x14ac:dyDescent="0.25">
      <c r="C12" s="222" t="s">
        <v>110</v>
      </c>
      <c r="D12" s="225">
        <v>300</v>
      </c>
      <c r="E12" s="226"/>
      <c r="F12" s="227"/>
      <c r="G12" s="226"/>
      <c r="H12" s="226"/>
      <c r="I12" s="226"/>
      <c r="J12" s="226"/>
      <c r="K12" s="226"/>
      <c r="L12" s="226"/>
      <c r="M12" s="226"/>
      <c r="N12" s="226"/>
      <c r="O12" s="226"/>
      <c r="P12" s="226"/>
      <c r="Q12" s="228">
        <v>300</v>
      </c>
    </row>
    <row r="13" spans="1:33" ht="16.5" customHeight="1" x14ac:dyDescent="0.25">
      <c r="C13" s="229" t="s">
        <v>73</v>
      </c>
      <c r="D13" s="230"/>
      <c r="E13" s="231">
        <v>100</v>
      </c>
      <c r="F13" s="231">
        <v>110</v>
      </c>
      <c r="G13" s="231">
        <v>120</v>
      </c>
      <c r="H13" s="231">
        <v>130</v>
      </c>
      <c r="I13" s="231">
        <v>140</v>
      </c>
      <c r="J13" s="231">
        <v>150</v>
      </c>
      <c r="K13" s="231">
        <v>160</v>
      </c>
      <c r="L13" s="231">
        <v>170</v>
      </c>
      <c r="M13" s="231">
        <v>180</v>
      </c>
      <c r="N13" s="231">
        <v>190</v>
      </c>
      <c r="O13" s="231">
        <v>200</v>
      </c>
      <c r="P13" s="231">
        <v>210</v>
      </c>
      <c r="Q13" s="232">
        <v>1860</v>
      </c>
    </row>
    <row r="14" spans="1:33" ht="16.5" customHeight="1" x14ac:dyDescent="0.25">
      <c r="C14" s="222" t="s">
        <v>71</v>
      </c>
      <c r="D14" s="225">
        <v>-300</v>
      </c>
      <c r="E14" s="226">
        <v>-10</v>
      </c>
      <c r="F14" s="226">
        <v>-11</v>
      </c>
      <c r="G14" s="226">
        <v>-12</v>
      </c>
      <c r="H14" s="226">
        <v>-13</v>
      </c>
      <c r="I14" s="226">
        <v>-14</v>
      </c>
      <c r="J14" s="226">
        <v>-15</v>
      </c>
      <c r="K14" s="226">
        <v>-16</v>
      </c>
      <c r="L14" s="226">
        <v>-17</v>
      </c>
      <c r="M14" s="226">
        <v>-18</v>
      </c>
      <c r="N14" s="226">
        <v>-19</v>
      </c>
      <c r="O14" s="226">
        <v>-20</v>
      </c>
      <c r="P14" s="226">
        <v>-21</v>
      </c>
      <c r="Q14" s="228">
        <v>-486</v>
      </c>
      <c r="U14" s="207" t="s">
        <v>46</v>
      </c>
    </row>
    <row r="15" spans="1:33" ht="16.5" customHeight="1" x14ac:dyDescent="0.25">
      <c r="B15" s="233"/>
      <c r="C15" s="222" t="s">
        <v>72</v>
      </c>
      <c r="D15" s="225"/>
      <c r="E15" s="226">
        <v>-40</v>
      </c>
      <c r="F15" s="226">
        <v>-40</v>
      </c>
      <c r="G15" s="226">
        <v>-40</v>
      </c>
      <c r="H15" s="226">
        <v>-40</v>
      </c>
      <c r="I15" s="226">
        <v>-40</v>
      </c>
      <c r="J15" s="226">
        <v>-40</v>
      </c>
      <c r="K15" s="226">
        <v>-40</v>
      </c>
      <c r="L15" s="226">
        <v>-40</v>
      </c>
      <c r="M15" s="226">
        <v>-40</v>
      </c>
      <c r="N15" s="226">
        <v>-40</v>
      </c>
      <c r="O15" s="226">
        <v>-40</v>
      </c>
      <c r="P15" s="226">
        <v>-40</v>
      </c>
      <c r="Q15" s="228">
        <v>-480</v>
      </c>
      <c r="U15" s="234"/>
      <c r="V15" s="235" t="s">
        <v>142</v>
      </c>
      <c r="W15" s="235" t="s">
        <v>7</v>
      </c>
      <c r="X15" s="236" t="s">
        <v>143</v>
      </c>
    </row>
    <row r="16" spans="1:33" ht="16.5" customHeight="1" x14ac:dyDescent="0.25">
      <c r="C16" s="222" t="s">
        <v>3</v>
      </c>
      <c r="D16" s="225"/>
      <c r="E16" s="226">
        <v>-75</v>
      </c>
      <c r="F16" s="226">
        <v>-75</v>
      </c>
      <c r="G16" s="226">
        <v>-75</v>
      </c>
      <c r="H16" s="226">
        <v>-75</v>
      </c>
      <c r="I16" s="226">
        <v>-75</v>
      </c>
      <c r="J16" s="226">
        <v>-75</v>
      </c>
      <c r="K16" s="226">
        <v>-75</v>
      </c>
      <c r="L16" s="226">
        <v>-75</v>
      </c>
      <c r="M16" s="226">
        <v>-75</v>
      </c>
      <c r="N16" s="226">
        <v>-75</v>
      </c>
      <c r="O16" s="226">
        <v>-75</v>
      </c>
      <c r="P16" s="226">
        <v>-75</v>
      </c>
      <c r="Q16" s="228">
        <v>-900</v>
      </c>
      <c r="U16" s="237" t="s">
        <v>140</v>
      </c>
      <c r="V16" s="238">
        <v>0</v>
      </c>
      <c r="W16" s="238">
        <v>0.2</v>
      </c>
      <c r="X16" s="239">
        <v>0.8</v>
      </c>
    </row>
    <row r="17" spans="1:25" ht="16.5" customHeight="1" x14ac:dyDescent="0.25">
      <c r="C17" s="240" t="s">
        <v>70</v>
      </c>
      <c r="D17" s="241">
        <v>0</v>
      </c>
      <c r="E17" s="242">
        <v>-25</v>
      </c>
      <c r="F17" s="242">
        <v>-16</v>
      </c>
      <c r="G17" s="242">
        <v>-7</v>
      </c>
      <c r="H17" s="242">
        <v>2</v>
      </c>
      <c r="I17" s="242">
        <v>11</v>
      </c>
      <c r="J17" s="242">
        <v>20</v>
      </c>
      <c r="K17" s="242">
        <v>29</v>
      </c>
      <c r="L17" s="242">
        <v>38</v>
      </c>
      <c r="M17" s="242">
        <v>47</v>
      </c>
      <c r="N17" s="242">
        <v>56</v>
      </c>
      <c r="O17" s="242">
        <v>65</v>
      </c>
      <c r="P17" s="242">
        <v>74</v>
      </c>
      <c r="Q17" s="243">
        <v>294</v>
      </c>
    </row>
    <row r="18" spans="1:25" ht="16.5" customHeight="1" x14ac:dyDescent="0.25">
      <c r="D18" s="196"/>
      <c r="E18" s="196"/>
      <c r="F18" s="196"/>
      <c r="G18" s="196"/>
      <c r="H18" s="196"/>
      <c r="I18" s="196"/>
      <c r="J18" s="196"/>
      <c r="K18" s="196"/>
      <c r="L18" s="196"/>
      <c r="M18" s="196"/>
      <c r="N18" s="196"/>
      <c r="O18" s="196"/>
      <c r="P18" s="196"/>
      <c r="Q18" s="196"/>
      <c r="U18" s="207" t="s">
        <v>141</v>
      </c>
    </row>
    <row r="19" spans="1:25" ht="16.5" customHeight="1" x14ac:dyDescent="0.25">
      <c r="T19" s="244" t="s">
        <v>144</v>
      </c>
      <c r="U19" s="245" t="s">
        <v>139</v>
      </c>
      <c r="V19" s="246" t="s">
        <v>145</v>
      </c>
      <c r="W19" s="247"/>
      <c r="X19" s="247"/>
      <c r="Y19" s="248" t="s">
        <v>138</v>
      </c>
    </row>
    <row r="20" spans="1:25" ht="16.5" customHeight="1" x14ac:dyDescent="0.25">
      <c r="A20" s="207"/>
      <c r="B20" s="207"/>
      <c r="C20" s="208" t="s">
        <v>122</v>
      </c>
      <c r="D20" s="202" t="s">
        <v>104</v>
      </c>
      <c r="E20" s="203" t="s">
        <v>93</v>
      </c>
      <c r="F20" s="203" t="s">
        <v>94</v>
      </c>
      <c r="G20" s="203" t="s">
        <v>95</v>
      </c>
      <c r="H20" s="203" t="s">
        <v>96</v>
      </c>
      <c r="I20" s="203" t="s">
        <v>97</v>
      </c>
      <c r="J20" s="203" t="s">
        <v>98</v>
      </c>
      <c r="K20" s="203" t="s">
        <v>99</v>
      </c>
      <c r="L20" s="203" t="s">
        <v>100</v>
      </c>
      <c r="M20" s="203" t="s">
        <v>101</v>
      </c>
      <c r="N20" s="203" t="s">
        <v>102</v>
      </c>
      <c r="O20" s="203" t="s">
        <v>103</v>
      </c>
      <c r="P20" s="203" t="s">
        <v>104</v>
      </c>
      <c r="Q20" s="204" t="s">
        <v>4</v>
      </c>
      <c r="T20" s="249"/>
      <c r="U20" s="250"/>
      <c r="V20" s="251" t="s">
        <v>142</v>
      </c>
      <c r="W20" s="252" t="s">
        <v>7</v>
      </c>
      <c r="X20" s="252" t="s">
        <v>143</v>
      </c>
      <c r="Y20" s="253"/>
    </row>
    <row r="21" spans="1:25" ht="16.5" hidden="1" customHeight="1" outlineLevel="1" x14ac:dyDescent="0.25">
      <c r="C21" s="209" t="s">
        <v>108</v>
      </c>
      <c r="D21" s="210" t="s">
        <v>105</v>
      </c>
      <c r="T21" s="254"/>
      <c r="U21" s="254"/>
      <c r="Y21" s="255"/>
    </row>
    <row r="22" spans="1:25" ht="16.5" hidden="1" customHeight="1" outlineLevel="1" x14ac:dyDescent="0.25">
      <c r="D22" s="213" t="s">
        <v>106</v>
      </c>
      <c r="E22" s="198" t="s">
        <v>92</v>
      </c>
      <c r="Q22" s="256" t="s">
        <v>70</v>
      </c>
      <c r="T22" s="254"/>
      <c r="U22" s="254"/>
      <c r="Y22" s="255"/>
    </row>
    <row r="23" spans="1:25" ht="16.5" hidden="1" customHeight="1" outlineLevel="1" x14ac:dyDescent="0.25">
      <c r="C23" s="209" t="s">
        <v>108</v>
      </c>
      <c r="D23" s="213" t="s">
        <v>104</v>
      </c>
      <c r="E23" s="198" t="s">
        <v>93</v>
      </c>
      <c r="F23" s="198" t="s">
        <v>94</v>
      </c>
      <c r="G23" s="227" t="s">
        <v>95</v>
      </c>
      <c r="H23" s="198" t="s">
        <v>96</v>
      </c>
      <c r="I23" s="198" t="s">
        <v>97</v>
      </c>
      <c r="J23" s="198" t="s">
        <v>98</v>
      </c>
      <c r="K23" s="198" t="s">
        <v>99</v>
      </c>
      <c r="L23" s="198" t="s">
        <v>100</v>
      </c>
      <c r="M23" s="198" t="s">
        <v>101</v>
      </c>
      <c r="N23" s="198" t="s">
        <v>102</v>
      </c>
      <c r="O23" s="198" t="s">
        <v>103</v>
      </c>
      <c r="P23" s="198" t="s">
        <v>104</v>
      </c>
      <c r="Q23" s="256"/>
      <c r="T23" s="254"/>
      <c r="U23" s="254"/>
      <c r="Y23" s="255"/>
    </row>
    <row r="24" spans="1:25" ht="16.5" customHeight="1" collapsed="1" x14ac:dyDescent="0.25">
      <c r="A24" s="196" t="b">
        <f t="shared" ref="A24:A29" si="1">C24=C12</f>
        <v>1</v>
      </c>
      <c r="C24" s="257" t="s">
        <v>110</v>
      </c>
      <c r="D24" s="225">
        <v>300</v>
      </c>
      <c r="E24" s="226"/>
      <c r="F24" s="226"/>
      <c r="G24" s="226"/>
      <c r="H24" s="226"/>
      <c r="I24" s="226"/>
      <c r="J24" s="226"/>
      <c r="K24" s="226"/>
      <c r="L24" s="226"/>
      <c r="M24" s="226"/>
      <c r="N24" s="226"/>
      <c r="O24" s="226"/>
      <c r="P24" s="226"/>
      <c r="Q24" s="228">
        <v>300</v>
      </c>
      <c r="T24" s="254" t="str">
        <f>C24</f>
        <v>Investor</v>
      </c>
      <c r="U24" s="258" t="s">
        <v>18</v>
      </c>
      <c r="V24" s="259">
        <f>_xlfn.XLOOKUP($U24,contract_type[Type],contract_type[Cash, %])</f>
        <v>1</v>
      </c>
      <c r="W24" s="259">
        <f>_xlfn.XLOOKUP($U24,contract_type[Type],contract_type[Flex, %])</f>
        <v>0</v>
      </c>
      <c r="X24" s="259">
        <f>_xlfn.XLOOKUP($U24,contract_type[Type],contract_type[Credit, %])</f>
        <v>-1</v>
      </c>
      <c r="Y24" s="260">
        <f>-SUMPRODUCT(V24:X24,$V$16:$X$16)</f>
        <v>0.8</v>
      </c>
    </row>
    <row r="25" spans="1:25" ht="16.5" customHeight="1" x14ac:dyDescent="0.25">
      <c r="A25" s="196" t="b">
        <f t="shared" si="1"/>
        <v>1</v>
      </c>
      <c r="C25" s="261" t="s">
        <v>73</v>
      </c>
      <c r="D25" s="230"/>
      <c r="E25" s="231">
        <v>100</v>
      </c>
      <c r="F25" s="231">
        <v>110</v>
      </c>
      <c r="G25" s="231">
        <v>120</v>
      </c>
      <c r="H25" s="231">
        <v>130</v>
      </c>
      <c r="I25" s="231">
        <v>140</v>
      </c>
      <c r="J25" s="231">
        <v>150</v>
      </c>
      <c r="K25" s="231">
        <v>160</v>
      </c>
      <c r="L25" s="231">
        <v>170</v>
      </c>
      <c r="M25" s="231">
        <v>180</v>
      </c>
      <c r="N25" s="231">
        <v>190</v>
      </c>
      <c r="O25" s="231">
        <v>200</v>
      </c>
      <c r="P25" s="231">
        <v>210</v>
      </c>
      <c r="Q25" s="232">
        <v>1860</v>
      </c>
      <c r="T25" s="254" t="str">
        <f>C25</f>
        <v>Clients</v>
      </c>
      <c r="U25" s="258" t="s">
        <v>13</v>
      </c>
      <c r="V25" s="259">
        <f>_xlfn.XLOOKUP($U25,contract_type[Type],contract_type[Cash, %])</f>
        <v>1</v>
      </c>
      <c r="W25" s="259">
        <f>_xlfn.XLOOKUP($U25,contract_type[Type],contract_type[Flex, %])</f>
        <v>0</v>
      </c>
      <c r="X25" s="259">
        <f>_xlfn.XLOOKUP($U25,contract_type[Type],contract_type[Credit, %])</f>
        <v>0</v>
      </c>
      <c r="Y25" s="260">
        <f>SUMPRODUCT(V25:X25,$V$16:$X$16)</f>
        <v>0</v>
      </c>
    </row>
    <row r="26" spans="1:25" ht="16.5" customHeight="1" x14ac:dyDescent="0.25">
      <c r="A26" s="196" t="b">
        <f t="shared" si="1"/>
        <v>1</v>
      </c>
      <c r="C26" s="257" t="s">
        <v>71</v>
      </c>
      <c r="D26" s="225">
        <v>-300</v>
      </c>
      <c r="E26" s="226">
        <v>-10</v>
      </c>
      <c r="F26" s="226">
        <v>-11</v>
      </c>
      <c r="G26" s="226">
        <v>-12</v>
      </c>
      <c r="H26" s="226">
        <v>-13</v>
      </c>
      <c r="I26" s="226">
        <v>-14</v>
      </c>
      <c r="J26" s="226">
        <v>-15</v>
      </c>
      <c r="K26" s="226">
        <v>-16</v>
      </c>
      <c r="L26" s="226">
        <v>-17</v>
      </c>
      <c r="M26" s="226">
        <v>-18</v>
      </c>
      <c r="N26" s="226">
        <v>-19</v>
      </c>
      <c r="O26" s="226">
        <v>-20</v>
      </c>
      <c r="P26" s="226">
        <v>-21</v>
      </c>
      <c r="Q26" s="228">
        <v>-486</v>
      </c>
      <c r="T26" s="254" t="str">
        <f>C26</f>
        <v>Suppliers</v>
      </c>
      <c r="U26" s="258" t="s">
        <v>48</v>
      </c>
      <c r="V26" s="259">
        <f>_xlfn.XLOOKUP($U26,contract_type[Type],contract_type[Cash, %])</f>
        <v>1</v>
      </c>
      <c r="W26" s="259">
        <f>_xlfn.XLOOKUP($U26,contract_type[Type],contract_type[Flex, %])</f>
        <v>0</v>
      </c>
      <c r="X26" s="259">
        <f>_xlfn.XLOOKUP($U26,contract_type[Type],contract_type[Credit, %])</f>
        <v>0</v>
      </c>
      <c r="Y26" s="260">
        <f>SUMPRODUCT(V26:X26,$V$16:$X$16)</f>
        <v>0</v>
      </c>
    </row>
    <row r="27" spans="1:25" ht="16.5" customHeight="1" x14ac:dyDescent="0.25">
      <c r="A27" s="196" t="b">
        <f t="shared" si="1"/>
        <v>1</v>
      </c>
      <c r="C27" s="257" t="s">
        <v>72</v>
      </c>
      <c r="D27" s="225"/>
      <c r="E27" s="226">
        <v>-30</v>
      </c>
      <c r="F27" s="226">
        <v>-30</v>
      </c>
      <c r="G27" s="226">
        <v>-39.142857142857139</v>
      </c>
      <c r="H27" s="226">
        <v>-40</v>
      </c>
      <c r="I27" s="226">
        <v>-40</v>
      </c>
      <c r="J27" s="226">
        <v>-40</v>
      </c>
      <c r="K27" s="226">
        <v>-40</v>
      </c>
      <c r="L27" s="226">
        <v>-40</v>
      </c>
      <c r="M27" s="226">
        <v>-40</v>
      </c>
      <c r="N27" s="226">
        <v>-40</v>
      </c>
      <c r="O27" s="226">
        <v>-40</v>
      </c>
      <c r="P27" s="226">
        <v>-40</v>
      </c>
      <c r="Q27" s="228">
        <v>-459.14285714285711</v>
      </c>
      <c r="T27" s="254" t="str">
        <f>C27</f>
        <v>Landlord</v>
      </c>
      <c r="U27" s="258" t="s">
        <v>15</v>
      </c>
      <c r="V27" s="259">
        <f>_xlfn.XLOOKUP($U27,contract_type[Type],contract_type[Cash, %])</f>
        <v>0.75</v>
      </c>
      <c r="W27" s="259">
        <f>_xlfn.XLOOKUP($U27,contract_type[Type],contract_type[Flex, %])</f>
        <v>0.25</v>
      </c>
      <c r="X27" s="259">
        <f>_xlfn.XLOOKUP($U27,contract_type[Type],contract_type[Credit, %])</f>
        <v>0</v>
      </c>
      <c r="Y27" s="260">
        <f>SUMPRODUCT(V27:X27,$V$16:$X$16)</f>
        <v>0.05</v>
      </c>
    </row>
    <row r="28" spans="1:25" ht="16.5" customHeight="1" x14ac:dyDescent="0.25">
      <c r="A28" s="196" t="b">
        <f t="shared" si="1"/>
        <v>1</v>
      </c>
      <c r="C28" s="257" t="s">
        <v>3</v>
      </c>
      <c r="D28" s="225">
        <v>0</v>
      </c>
      <c r="E28" s="226">
        <v>-25</v>
      </c>
      <c r="F28" s="226">
        <v>-25</v>
      </c>
      <c r="G28" s="226">
        <v>-47.857142857142854</v>
      </c>
      <c r="H28" s="226">
        <v>-50</v>
      </c>
      <c r="I28" s="226">
        <v>-50</v>
      </c>
      <c r="J28" s="226">
        <v>-50</v>
      </c>
      <c r="K28" s="226">
        <v>-50</v>
      </c>
      <c r="L28" s="226">
        <v>-50</v>
      </c>
      <c r="M28" s="226">
        <v>-50</v>
      </c>
      <c r="N28" s="226">
        <v>-50</v>
      </c>
      <c r="O28" s="226">
        <v>-50</v>
      </c>
      <c r="P28" s="226">
        <v>-50</v>
      </c>
      <c r="Q28" s="228">
        <v>-547.85714285714289</v>
      </c>
      <c r="T28" s="262" t="str">
        <f>C28</f>
        <v>Alphonse</v>
      </c>
      <c r="U28" s="263" t="s">
        <v>43</v>
      </c>
      <c r="V28" s="264">
        <f>_xlfn.XLOOKUP($U28,contract_type[Type],contract_type[Cash, %])</f>
        <v>0.33333333333333331</v>
      </c>
      <c r="W28" s="264">
        <f>_xlfn.XLOOKUP($U28,contract_type[Type],contract_type[Flex, %])</f>
        <v>0.33333333333333331</v>
      </c>
      <c r="X28" s="264">
        <f>_xlfn.XLOOKUP($U28,contract_type[Type],contract_type[Credit, %])</f>
        <v>0.33333333333333343</v>
      </c>
      <c r="Y28" s="265">
        <f>SUMPRODUCT(V28:X28,$V$16:$X$16)</f>
        <v>0.33333333333333343</v>
      </c>
    </row>
    <row r="29" spans="1:25" ht="16.5" customHeight="1" x14ac:dyDescent="0.25">
      <c r="A29" s="196" t="b">
        <f t="shared" si="1"/>
        <v>1</v>
      </c>
      <c r="C29" s="240" t="s">
        <v>70</v>
      </c>
      <c r="D29" s="241">
        <v>0</v>
      </c>
      <c r="E29" s="242">
        <v>35</v>
      </c>
      <c r="F29" s="242">
        <v>44</v>
      </c>
      <c r="G29" s="242">
        <v>21.000000000000007</v>
      </c>
      <c r="H29" s="242">
        <v>27</v>
      </c>
      <c r="I29" s="242">
        <v>36</v>
      </c>
      <c r="J29" s="242">
        <v>45</v>
      </c>
      <c r="K29" s="242">
        <v>54</v>
      </c>
      <c r="L29" s="242">
        <v>63</v>
      </c>
      <c r="M29" s="242">
        <v>72</v>
      </c>
      <c r="N29" s="242">
        <v>81</v>
      </c>
      <c r="O29" s="242">
        <v>90</v>
      </c>
      <c r="P29" s="242">
        <v>99</v>
      </c>
      <c r="Q29" s="243">
        <v>667</v>
      </c>
    </row>
    <row r="30" spans="1:25" ht="16.5" customHeight="1" x14ac:dyDescent="0.25">
      <c r="C30" s="196" t="s">
        <v>25</v>
      </c>
      <c r="D30" s="225">
        <f>D29</f>
        <v>0</v>
      </c>
      <c r="E30" s="226">
        <f t="shared" ref="E30:P30" si="2">E29+D30</f>
        <v>35</v>
      </c>
      <c r="F30" s="226">
        <f t="shared" si="2"/>
        <v>79</v>
      </c>
      <c r="G30" s="226">
        <f t="shared" si="2"/>
        <v>100</v>
      </c>
      <c r="H30" s="226">
        <f t="shared" si="2"/>
        <v>127</v>
      </c>
      <c r="I30" s="226">
        <f t="shared" si="2"/>
        <v>163</v>
      </c>
      <c r="J30" s="226">
        <f t="shared" si="2"/>
        <v>208</v>
      </c>
      <c r="K30" s="226">
        <f t="shared" si="2"/>
        <v>262</v>
      </c>
      <c r="L30" s="226">
        <f t="shared" si="2"/>
        <v>325</v>
      </c>
      <c r="M30" s="226">
        <f t="shared" si="2"/>
        <v>397</v>
      </c>
      <c r="N30" s="226">
        <f t="shared" si="2"/>
        <v>478</v>
      </c>
      <c r="O30" s="226">
        <f t="shared" si="2"/>
        <v>568</v>
      </c>
      <c r="P30" s="226">
        <f t="shared" si="2"/>
        <v>667</v>
      </c>
      <c r="Q30" s="228">
        <f>P30</f>
        <v>667</v>
      </c>
    </row>
    <row r="31" spans="1:25" ht="16.5" customHeight="1" x14ac:dyDescent="0.25">
      <c r="C31" s="266" t="s">
        <v>49</v>
      </c>
      <c r="D31" s="267"/>
      <c r="E31" s="268">
        <f t="shared" ref="E31:P31" si="3">MIN(E30,base_reserve)</f>
        <v>35</v>
      </c>
      <c r="F31" s="268">
        <f t="shared" si="3"/>
        <v>79</v>
      </c>
      <c r="G31" s="268">
        <f t="shared" si="3"/>
        <v>100</v>
      </c>
      <c r="H31" s="268">
        <f t="shared" si="3"/>
        <v>100</v>
      </c>
      <c r="I31" s="268">
        <f t="shared" si="3"/>
        <v>100</v>
      </c>
      <c r="J31" s="268">
        <f t="shared" si="3"/>
        <v>100</v>
      </c>
      <c r="K31" s="268">
        <f t="shared" si="3"/>
        <v>100</v>
      </c>
      <c r="L31" s="268">
        <f t="shared" si="3"/>
        <v>100</v>
      </c>
      <c r="M31" s="268">
        <f t="shared" si="3"/>
        <v>100</v>
      </c>
      <c r="N31" s="268">
        <f t="shared" si="3"/>
        <v>100</v>
      </c>
      <c r="O31" s="268">
        <f t="shared" si="3"/>
        <v>100</v>
      </c>
      <c r="P31" s="268">
        <f t="shared" si="3"/>
        <v>100</v>
      </c>
      <c r="Q31" s="269">
        <f>P31</f>
        <v>100</v>
      </c>
    </row>
    <row r="32" spans="1:25" ht="16.5" customHeight="1" x14ac:dyDescent="0.25">
      <c r="C32" s="205" t="s">
        <v>125</v>
      </c>
      <c r="D32" s="270"/>
      <c r="E32" s="271">
        <f t="shared" ref="E32:P32" si="4">E30-E31</f>
        <v>0</v>
      </c>
      <c r="F32" s="271">
        <f t="shared" si="4"/>
        <v>0</v>
      </c>
      <c r="G32" s="271">
        <f t="shared" si="4"/>
        <v>0</v>
      </c>
      <c r="H32" s="271">
        <f t="shared" si="4"/>
        <v>27</v>
      </c>
      <c r="I32" s="271">
        <f t="shared" si="4"/>
        <v>63</v>
      </c>
      <c r="J32" s="271">
        <f t="shared" si="4"/>
        <v>108</v>
      </c>
      <c r="K32" s="271">
        <f t="shared" si="4"/>
        <v>162</v>
      </c>
      <c r="L32" s="271">
        <f t="shared" si="4"/>
        <v>225</v>
      </c>
      <c r="M32" s="271">
        <f t="shared" si="4"/>
        <v>297</v>
      </c>
      <c r="N32" s="271">
        <f t="shared" si="4"/>
        <v>378</v>
      </c>
      <c r="O32" s="271">
        <f t="shared" si="4"/>
        <v>468</v>
      </c>
      <c r="P32" s="271">
        <f t="shared" si="4"/>
        <v>567</v>
      </c>
      <c r="Q32" s="272">
        <f>P32</f>
        <v>567</v>
      </c>
    </row>
    <row r="34" spans="1:18" ht="16.5" customHeight="1" x14ac:dyDescent="0.25">
      <c r="A34" s="207"/>
      <c r="B34" s="207"/>
      <c r="C34" s="208" t="s">
        <v>124</v>
      </c>
      <c r="D34" s="202" t="s">
        <v>104</v>
      </c>
      <c r="E34" s="203" t="s">
        <v>93</v>
      </c>
      <c r="F34" s="203" t="s">
        <v>94</v>
      </c>
      <c r="G34" s="203" t="s">
        <v>95</v>
      </c>
      <c r="H34" s="203" t="s">
        <v>96</v>
      </c>
      <c r="I34" s="203" t="s">
        <v>97</v>
      </c>
      <c r="J34" s="203" t="s">
        <v>98</v>
      </c>
      <c r="K34" s="203" t="s">
        <v>99</v>
      </c>
      <c r="L34" s="203" t="s">
        <v>100</v>
      </c>
      <c r="M34" s="203" t="s">
        <v>101</v>
      </c>
      <c r="N34" s="203" t="s">
        <v>102</v>
      </c>
      <c r="O34" s="203" t="s">
        <v>103</v>
      </c>
      <c r="P34" s="203" t="s">
        <v>104</v>
      </c>
      <c r="Q34" s="273" t="s">
        <v>4</v>
      </c>
      <c r="R34" s="274"/>
    </row>
    <row r="35" spans="1:18" ht="16.5" hidden="1" customHeight="1" outlineLevel="1" x14ac:dyDescent="0.25">
      <c r="C35" s="196" t="s">
        <v>79</v>
      </c>
      <c r="D35" s="198" t="s">
        <v>105</v>
      </c>
      <c r="Q35" s="275"/>
      <c r="R35" s="276"/>
    </row>
    <row r="36" spans="1:18" ht="16.5" hidden="1" customHeight="1" outlineLevel="1" x14ac:dyDescent="0.25">
      <c r="D36" s="213" t="s">
        <v>106</v>
      </c>
      <c r="E36" s="198" t="s">
        <v>92</v>
      </c>
      <c r="Q36" s="277" t="s">
        <v>4</v>
      </c>
      <c r="R36" s="276"/>
    </row>
    <row r="37" spans="1:18" ht="16.5" hidden="1" customHeight="1" outlineLevel="1" collapsed="1" x14ac:dyDescent="0.25">
      <c r="C37" s="196" t="s">
        <v>30</v>
      </c>
      <c r="D37" s="213" t="s">
        <v>104</v>
      </c>
      <c r="E37" s="198" t="s">
        <v>93</v>
      </c>
      <c r="F37" s="198" t="s">
        <v>94</v>
      </c>
      <c r="G37" s="198" t="s">
        <v>95</v>
      </c>
      <c r="H37" s="198" t="s">
        <v>96</v>
      </c>
      <c r="I37" s="198" t="s">
        <v>97</v>
      </c>
      <c r="J37" s="198" t="s">
        <v>98</v>
      </c>
      <c r="K37" s="198" t="s">
        <v>99</v>
      </c>
      <c r="L37" s="198" t="s">
        <v>100</v>
      </c>
      <c r="M37" s="198" t="s">
        <v>101</v>
      </c>
      <c r="N37" s="198" t="s">
        <v>102</v>
      </c>
      <c r="O37" s="198" t="s">
        <v>103</v>
      </c>
      <c r="P37" s="198" t="s">
        <v>104</v>
      </c>
      <c r="Q37" s="278"/>
      <c r="R37" s="276"/>
    </row>
    <row r="38" spans="1:18" ht="16.5" customHeight="1" collapsed="1" x14ac:dyDescent="0.25">
      <c r="A38" s="196" t="b">
        <f t="shared" ref="A38:A43" si="5">C38=C24</f>
        <v>1</v>
      </c>
      <c r="C38" s="222" t="s">
        <v>110</v>
      </c>
      <c r="D38" s="225">
        <v>300</v>
      </c>
      <c r="E38" s="226"/>
      <c r="F38" s="226"/>
      <c r="G38" s="226"/>
      <c r="H38" s="226"/>
      <c r="I38" s="226"/>
      <c r="J38" s="226"/>
      <c r="K38" s="226"/>
      <c r="L38" s="226"/>
      <c r="M38" s="226"/>
      <c r="N38" s="226"/>
      <c r="O38" s="226"/>
      <c r="P38" s="226"/>
      <c r="Q38" s="228">
        <v>300</v>
      </c>
      <c r="R38" s="276">
        <f>Q38/Q43</f>
        <v>0.44576523031203569</v>
      </c>
    </row>
    <row r="39" spans="1:18" ht="16.5" hidden="1" customHeight="1" outlineLevel="1" x14ac:dyDescent="0.25">
      <c r="A39" s="196" t="b">
        <f t="shared" si="5"/>
        <v>1</v>
      </c>
      <c r="C39" s="229" t="s">
        <v>73</v>
      </c>
      <c r="D39" s="230"/>
      <c r="E39" s="231">
        <v>0</v>
      </c>
      <c r="F39" s="231">
        <v>0</v>
      </c>
      <c r="G39" s="231">
        <v>0</v>
      </c>
      <c r="H39" s="231">
        <v>0</v>
      </c>
      <c r="I39" s="231">
        <v>0</v>
      </c>
      <c r="J39" s="231">
        <v>0</v>
      </c>
      <c r="K39" s="231">
        <v>0</v>
      </c>
      <c r="L39" s="231">
        <v>0</v>
      </c>
      <c r="M39" s="231">
        <v>0</v>
      </c>
      <c r="N39" s="231">
        <v>0</v>
      </c>
      <c r="O39" s="231">
        <v>0</v>
      </c>
      <c r="P39" s="231">
        <v>0</v>
      </c>
      <c r="Q39" s="232">
        <v>0</v>
      </c>
      <c r="R39" s="279">
        <f>Q39/Q43</f>
        <v>0</v>
      </c>
    </row>
    <row r="40" spans="1:18" ht="16.5" hidden="1" customHeight="1" outlineLevel="1" x14ac:dyDescent="0.25">
      <c r="A40" s="196" t="b">
        <f t="shared" si="5"/>
        <v>1</v>
      </c>
      <c r="C40" s="222" t="s">
        <v>71</v>
      </c>
      <c r="D40" s="225">
        <v>0</v>
      </c>
      <c r="E40" s="226">
        <v>0</v>
      </c>
      <c r="F40" s="226">
        <v>0</v>
      </c>
      <c r="G40" s="226">
        <v>0</v>
      </c>
      <c r="H40" s="226">
        <v>0</v>
      </c>
      <c r="I40" s="226">
        <v>0</v>
      </c>
      <c r="J40" s="226">
        <v>0</v>
      </c>
      <c r="K40" s="226">
        <v>0</v>
      </c>
      <c r="L40" s="226">
        <v>0</v>
      </c>
      <c r="M40" s="226">
        <v>0</v>
      </c>
      <c r="N40" s="226">
        <v>0</v>
      </c>
      <c r="O40" s="226">
        <v>0</v>
      </c>
      <c r="P40" s="226">
        <v>0</v>
      </c>
      <c r="Q40" s="228">
        <v>0</v>
      </c>
      <c r="R40" s="276">
        <f>Q40/Q43</f>
        <v>0</v>
      </c>
    </row>
    <row r="41" spans="1:18" ht="16.5" customHeight="1" collapsed="1" x14ac:dyDescent="0.25">
      <c r="A41" s="196" t="b">
        <f t="shared" si="5"/>
        <v>1</v>
      </c>
      <c r="C41" s="222" t="s">
        <v>72</v>
      </c>
      <c r="D41" s="225"/>
      <c r="E41" s="226">
        <v>10</v>
      </c>
      <c r="F41" s="226">
        <v>10</v>
      </c>
      <c r="G41" s="226">
        <v>0.8571428571428612</v>
      </c>
      <c r="H41" s="226">
        <v>0</v>
      </c>
      <c r="I41" s="226">
        <v>0</v>
      </c>
      <c r="J41" s="226">
        <v>0</v>
      </c>
      <c r="K41" s="226">
        <v>0</v>
      </c>
      <c r="L41" s="226">
        <v>0</v>
      </c>
      <c r="M41" s="226">
        <v>0</v>
      </c>
      <c r="N41" s="226">
        <v>0</v>
      </c>
      <c r="O41" s="226">
        <v>0</v>
      </c>
      <c r="P41" s="226">
        <v>0</v>
      </c>
      <c r="Q41" s="228">
        <v>20.857142857142861</v>
      </c>
      <c r="R41" s="276">
        <f>Q41/Q43</f>
        <v>3.0991296964551055E-2</v>
      </c>
    </row>
    <row r="42" spans="1:18" ht="16.5" customHeight="1" x14ac:dyDescent="0.25">
      <c r="A42" s="196" t="b">
        <f t="shared" si="5"/>
        <v>1</v>
      </c>
      <c r="C42" s="222" t="s">
        <v>3</v>
      </c>
      <c r="D42" s="225">
        <v>0</v>
      </c>
      <c r="E42" s="226">
        <v>50</v>
      </c>
      <c r="F42" s="226">
        <v>50</v>
      </c>
      <c r="G42" s="226">
        <v>27.142857142857146</v>
      </c>
      <c r="H42" s="226">
        <v>25</v>
      </c>
      <c r="I42" s="226">
        <v>25</v>
      </c>
      <c r="J42" s="226">
        <v>25</v>
      </c>
      <c r="K42" s="226">
        <v>25</v>
      </c>
      <c r="L42" s="226">
        <v>25</v>
      </c>
      <c r="M42" s="226">
        <v>25</v>
      </c>
      <c r="N42" s="226">
        <v>25</v>
      </c>
      <c r="O42" s="226">
        <v>25</v>
      </c>
      <c r="P42" s="226">
        <v>25</v>
      </c>
      <c r="Q42" s="228">
        <v>352.14285714285711</v>
      </c>
      <c r="R42" s="276">
        <f>Q42/Q43</f>
        <v>0.52324347272341321</v>
      </c>
    </row>
    <row r="43" spans="1:18" ht="16.5" customHeight="1" x14ac:dyDescent="0.25">
      <c r="A43" s="196" t="b">
        <f t="shared" si="5"/>
        <v>0</v>
      </c>
      <c r="C43" s="222" t="s">
        <v>4</v>
      </c>
      <c r="D43" s="225">
        <v>300</v>
      </c>
      <c r="E43" s="226">
        <v>60</v>
      </c>
      <c r="F43" s="226">
        <v>60</v>
      </c>
      <c r="G43" s="226">
        <v>28.000000000000007</v>
      </c>
      <c r="H43" s="226">
        <v>25</v>
      </c>
      <c r="I43" s="226">
        <v>25</v>
      </c>
      <c r="J43" s="226">
        <v>25</v>
      </c>
      <c r="K43" s="226">
        <v>25</v>
      </c>
      <c r="L43" s="226">
        <v>25</v>
      </c>
      <c r="M43" s="226">
        <v>25</v>
      </c>
      <c r="N43" s="226">
        <v>25</v>
      </c>
      <c r="O43" s="226">
        <v>25</v>
      </c>
      <c r="P43" s="226">
        <v>25</v>
      </c>
      <c r="Q43" s="280">
        <v>673</v>
      </c>
      <c r="R43" s="281">
        <f>Q43/Q43</f>
        <v>1</v>
      </c>
    </row>
    <row r="44" spans="1:18" ht="16.5" customHeight="1" x14ac:dyDescent="0.25">
      <c r="D44" s="196"/>
      <c r="E44" s="196"/>
      <c r="F44" s="196"/>
      <c r="G44" s="196"/>
      <c r="H44" s="196"/>
      <c r="I44" s="196"/>
      <c r="J44" s="196"/>
      <c r="K44" s="196"/>
      <c r="L44" s="196"/>
      <c r="M44" s="196"/>
      <c r="N44" s="196"/>
      <c r="O44" s="196"/>
      <c r="P44" s="196"/>
      <c r="Q44" s="196"/>
    </row>
    <row r="45" spans="1:18" ht="16.5" customHeight="1" x14ac:dyDescent="0.25">
      <c r="D45" s="196"/>
      <c r="E45" s="196"/>
      <c r="F45" s="196"/>
      <c r="G45" s="196"/>
      <c r="H45" s="196"/>
      <c r="I45" s="196"/>
      <c r="J45" s="196"/>
      <c r="K45" s="196"/>
      <c r="L45" s="196"/>
      <c r="M45" s="196"/>
      <c r="N45" s="196"/>
      <c r="O45" s="196"/>
      <c r="P45" s="196"/>
      <c r="Q45" s="196"/>
    </row>
    <row r="46" spans="1:18" ht="16.5" customHeight="1" x14ac:dyDescent="0.25">
      <c r="A46" s="207"/>
      <c r="B46" s="207"/>
      <c r="C46" s="208" t="s">
        <v>56</v>
      </c>
      <c r="D46" s="202" t="s">
        <v>104</v>
      </c>
      <c r="E46" s="203" t="s">
        <v>93</v>
      </c>
      <c r="F46" s="203" t="s">
        <v>94</v>
      </c>
      <c r="G46" s="203" t="s">
        <v>95</v>
      </c>
      <c r="H46" s="203" t="s">
        <v>96</v>
      </c>
      <c r="I46" s="203" t="s">
        <v>97</v>
      </c>
      <c r="J46" s="203" t="s">
        <v>98</v>
      </c>
      <c r="K46" s="203" t="s">
        <v>99</v>
      </c>
      <c r="L46" s="203" t="s">
        <v>100</v>
      </c>
      <c r="M46" s="203" t="s">
        <v>101</v>
      </c>
      <c r="N46" s="203" t="s">
        <v>102</v>
      </c>
      <c r="O46" s="203" t="s">
        <v>103</v>
      </c>
      <c r="P46" s="203" t="s">
        <v>104</v>
      </c>
      <c r="Q46" s="273" t="s">
        <v>4</v>
      </c>
      <c r="R46" s="274"/>
    </row>
    <row r="47" spans="1:18" ht="16.5" hidden="1" customHeight="1" outlineLevel="1" x14ac:dyDescent="0.25">
      <c r="C47" s="196" t="s">
        <v>128</v>
      </c>
      <c r="D47" s="198" t="s">
        <v>105</v>
      </c>
      <c r="Q47" s="275"/>
      <c r="R47" s="276"/>
    </row>
    <row r="48" spans="1:18" ht="16.5" hidden="1" customHeight="1" outlineLevel="1" x14ac:dyDescent="0.25">
      <c r="D48" s="213" t="s">
        <v>106</v>
      </c>
      <c r="E48" s="198" t="s">
        <v>92</v>
      </c>
      <c r="Q48" s="277" t="s">
        <v>4</v>
      </c>
      <c r="R48" s="276"/>
    </row>
    <row r="49" spans="1:18" ht="16.5" hidden="1" customHeight="1" outlineLevel="1" collapsed="1" x14ac:dyDescent="0.25">
      <c r="C49" s="196" t="s">
        <v>30</v>
      </c>
      <c r="D49" s="213" t="s">
        <v>104</v>
      </c>
      <c r="E49" s="198" t="s">
        <v>93</v>
      </c>
      <c r="F49" s="198" t="s">
        <v>94</v>
      </c>
      <c r="G49" s="198" t="s">
        <v>95</v>
      </c>
      <c r="H49" s="198" t="s">
        <v>96</v>
      </c>
      <c r="I49" s="198" t="s">
        <v>97</v>
      </c>
      <c r="J49" s="198" t="s">
        <v>98</v>
      </c>
      <c r="K49" s="198" t="s">
        <v>99</v>
      </c>
      <c r="L49" s="198" t="s">
        <v>100</v>
      </c>
      <c r="M49" s="198" t="s">
        <v>101</v>
      </c>
      <c r="N49" s="198" t="s">
        <v>102</v>
      </c>
      <c r="O49" s="198" t="s">
        <v>103</v>
      </c>
      <c r="P49" s="198" t="s">
        <v>104</v>
      </c>
      <c r="Q49" s="278"/>
      <c r="R49" s="276"/>
    </row>
    <row r="50" spans="1:18" ht="16.5" customHeight="1" collapsed="1" x14ac:dyDescent="0.25">
      <c r="A50" s="196" t="b">
        <f t="shared" ref="A50:A55" si="6">C50=C38</f>
        <v>1</v>
      </c>
      <c r="C50" s="222" t="s">
        <v>110</v>
      </c>
      <c r="D50" s="225">
        <v>24</v>
      </c>
      <c r="E50" s="226"/>
      <c r="F50" s="226"/>
      <c r="G50" s="226"/>
      <c r="H50" s="226"/>
      <c r="I50" s="226"/>
      <c r="J50" s="226"/>
      <c r="K50" s="226"/>
      <c r="L50" s="226"/>
      <c r="M50" s="226"/>
      <c r="N50" s="226"/>
      <c r="O50" s="226"/>
      <c r="P50" s="226"/>
      <c r="Q50" s="228">
        <v>24</v>
      </c>
      <c r="R50" s="276">
        <f>Q50/Q55</f>
        <v>0.36998574196260359</v>
      </c>
    </row>
    <row r="51" spans="1:18" ht="16.5" hidden="1" customHeight="1" outlineLevel="1" x14ac:dyDescent="0.25">
      <c r="A51" s="196" t="b">
        <f t="shared" si="6"/>
        <v>1</v>
      </c>
      <c r="C51" s="229" t="s">
        <v>73</v>
      </c>
      <c r="D51" s="230"/>
      <c r="E51" s="231">
        <v>0</v>
      </c>
      <c r="F51" s="231">
        <v>0</v>
      </c>
      <c r="G51" s="231">
        <v>0</v>
      </c>
      <c r="H51" s="231">
        <v>0</v>
      </c>
      <c r="I51" s="231">
        <v>0</v>
      </c>
      <c r="J51" s="231">
        <v>0</v>
      </c>
      <c r="K51" s="231">
        <v>0</v>
      </c>
      <c r="L51" s="231">
        <v>0</v>
      </c>
      <c r="M51" s="231">
        <v>0</v>
      </c>
      <c r="N51" s="231">
        <v>0</v>
      </c>
      <c r="O51" s="231">
        <v>0</v>
      </c>
      <c r="P51" s="231">
        <v>0</v>
      </c>
      <c r="Q51" s="232">
        <v>0</v>
      </c>
      <c r="R51" s="279">
        <f>Q51/Q55</f>
        <v>0</v>
      </c>
    </row>
    <row r="52" spans="1:18" ht="16.5" hidden="1" customHeight="1" outlineLevel="1" x14ac:dyDescent="0.25">
      <c r="A52" s="196" t="b">
        <f t="shared" si="6"/>
        <v>1</v>
      </c>
      <c r="C52" s="222" t="s">
        <v>71</v>
      </c>
      <c r="D52" s="225">
        <v>0</v>
      </c>
      <c r="E52" s="226">
        <v>0</v>
      </c>
      <c r="F52" s="226">
        <v>0</v>
      </c>
      <c r="G52" s="226">
        <v>0</v>
      </c>
      <c r="H52" s="226">
        <v>0</v>
      </c>
      <c r="I52" s="226">
        <v>0</v>
      </c>
      <c r="J52" s="226">
        <v>0</v>
      </c>
      <c r="K52" s="226">
        <v>0</v>
      </c>
      <c r="L52" s="226">
        <v>0</v>
      </c>
      <c r="M52" s="226">
        <v>0</v>
      </c>
      <c r="N52" s="226">
        <v>0</v>
      </c>
      <c r="O52" s="226">
        <v>0</v>
      </c>
      <c r="P52" s="226">
        <v>0</v>
      </c>
      <c r="Q52" s="228">
        <v>0</v>
      </c>
      <c r="R52" s="276">
        <f>Q52/Q55</f>
        <v>0</v>
      </c>
    </row>
    <row r="53" spans="1:18" ht="16.5" customHeight="1" collapsed="1" x14ac:dyDescent="0.25">
      <c r="A53" s="196" t="b">
        <f t="shared" si="6"/>
        <v>1</v>
      </c>
      <c r="C53" s="222" t="s">
        <v>72</v>
      </c>
      <c r="D53" s="225"/>
      <c r="E53" s="226">
        <v>0.7849914150590096</v>
      </c>
      <c r="F53" s="226">
        <v>0.7702644021454329</v>
      </c>
      <c r="G53" s="226">
        <v>0.63357568193344438</v>
      </c>
      <c r="H53" s="226">
        <v>0.53785458985608747</v>
      </c>
      <c r="I53" s="226">
        <v>0.47232668103266107</v>
      </c>
      <c r="J53" s="226">
        <v>0.42394996888815667</v>
      </c>
      <c r="K53" s="226">
        <v>0.38691560350246912</v>
      </c>
      <c r="L53" s="226">
        <v>0.35712968040353721</v>
      </c>
      <c r="M53" s="226">
        <v>0.33265939941183259</v>
      </c>
      <c r="N53" s="226">
        <v>0.31228603906071056</v>
      </c>
      <c r="O53" s="226">
        <v>0.29466970879911913</v>
      </c>
      <c r="P53" s="226">
        <v>0.27952320876076431</v>
      </c>
      <c r="Q53" s="228">
        <v>5.5861463788532255</v>
      </c>
      <c r="R53" s="276">
        <f>Q53/Q55</f>
        <v>8.6116438028821754E-2</v>
      </c>
    </row>
    <row r="54" spans="1:18" ht="16.5" customHeight="1" x14ac:dyDescent="0.25">
      <c r="A54" s="196" t="b">
        <f t="shared" si="6"/>
        <v>1</v>
      </c>
      <c r="C54" s="222" t="s">
        <v>3</v>
      </c>
      <c r="D54" s="225">
        <v>0</v>
      </c>
      <c r="E54" s="226">
        <v>3.9249570752950484</v>
      </c>
      <c r="F54" s="226">
        <v>3.8513220107271651</v>
      </c>
      <c r="G54" s="226">
        <v>3.4769397179274395</v>
      </c>
      <c r="H54" s="226">
        <v>3.2021229139914125</v>
      </c>
      <c r="I54" s="226">
        <v>3.004569189842996</v>
      </c>
      <c r="J54" s="226">
        <v>2.8494124793362294</v>
      </c>
      <c r="K54" s="226">
        <v>2.7243266385854237</v>
      </c>
      <c r="L54" s="226">
        <v>2.6168985201983328</v>
      </c>
      <c r="M54" s="226">
        <v>2.5233779228889017</v>
      </c>
      <c r="N54" s="226">
        <v>2.4417208956409024</v>
      </c>
      <c r="O54" s="226">
        <v>2.3665183867286768</v>
      </c>
      <c r="P54" s="226">
        <v>2.2990524140639073</v>
      </c>
      <c r="Q54" s="228">
        <v>35.281218165226441</v>
      </c>
      <c r="R54" s="276">
        <f>Q54/Q55</f>
        <v>0.54389782000857467</v>
      </c>
    </row>
    <row r="55" spans="1:18" ht="16.5" customHeight="1" x14ac:dyDescent="0.25">
      <c r="A55" s="196" t="b">
        <f t="shared" si="6"/>
        <v>1</v>
      </c>
      <c r="C55" s="222" t="s">
        <v>4</v>
      </c>
      <c r="D55" s="225">
        <v>24</v>
      </c>
      <c r="E55" s="226">
        <v>4.7099484903540585</v>
      </c>
      <c r="F55" s="226">
        <v>4.6215864128725981</v>
      </c>
      <c r="G55" s="226">
        <v>4.1105153998608834</v>
      </c>
      <c r="H55" s="226">
        <v>3.7399775038474998</v>
      </c>
      <c r="I55" s="226">
        <v>3.4768958708756572</v>
      </c>
      <c r="J55" s="226">
        <v>3.2733624482243862</v>
      </c>
      <c r="K55" s="226">
        <v>3.1112422420878927</v>
      </c>
      <c r="L55" s="226">
        <v>2.9740282006018699</v>
      </c>
      <c r="M55" s="226">
        <v>2.8560373223007343</v>
      </c>
      <c r="N55" s="226">
        <v>2.754006934701613</v>
      </c>
      <c r="O55" s="226">
        <v>2.661188095527796</v>
      </c>
      <c r="P55" s="226">
        <v>2.5785756228246717</v>
      </c>
      <c r="Q55" s="280">
        <v>64.867364544079663</v>
      </c>
      <c r="R55" s="281">
        <f>Q55/Q55</f>
        <v>1</v>
      </c>
    </row>
    <row r="56" spans="1:18" ht="16.5" customHeight="1" x14ac:dyDescent="0.25">
      <c r="D56" s="196"/>
      <c r="E56" s="196"/>
      <c r="F56" s="196"/>
      <c r="G56" s="196"/>
      <c r="H56" s="196"/>
      <c r="I56" s="196"/>
      <c r="J56" s="196"/>
      <c r="K56" s="196"/>
      <c r="L56" s="196"/>
      <c r="M56" s="196"/>
      <c r="N56" s="196"/>
      <c r="O56" s="196"/>
      <c r="P56" s="196"/>
      <c r="Q56" s="196"/>
    </row>
    <row r="57" spans="1:18" ht="16.5" customHeight="1" x14ac:dyDescent="0.25">
      <c r="D57" s="196"/>
      <c r="E57" s="196"/>
      <c r="F57" s="196"/>
      <c r="G57" s="196"/>
      <c r="H57" s="196"/>
      <c r="I57" s="196"/>
      <c r="J57" s="196"/>
      <c r="K57" s="196"/>
      <c r="L57" s="196"/>
      <c r="M57" s="196"/>
      <c r="N57" s="196"/>
      <c r="O57" s="196"/>
      <c r="P57" s="196"/>
      <c r="Q57" s="196"/>
    </row>
    <row r="58" spans="1:18" ht="16.5" customHeight="1" x14ac:dyDescent="0.25">
      <c r="A58" s="207"/>
      <c r="B58" s="207"/>
      <c r="C58" s="208" t="s">
        <v>127</v>
      </c>
      <c r="D58" s="202" t="s">
        <v>104</v>
      </c>
      <c r="E58" s="203" t="s">
        <v>93</v>
      </c>
      <c r="F58" s="203" t="s">
        <v>94</v>
      </c>
      <c r="G58" s="203" t="s">
        <v>95</v>
      </c>
      <c r="H58" s="203" t="s">
        <v>96</v>
      </c>
      <c r="I58" s="203" t="s">
        <v>97</v>
      </c>
      <c r="J58" s="203" t="s">
        <v>98</v>
      </c>
      <c r="K58" s="203" t="s">
        <v>99</v>
      </c>
      <c r="L58" s="203" t="s">
        <v>100</v>
      </c>
      <c r="M58" s="203" t="s">
        <v>101</v>
      </c>
      <c r="N58" s="203" t="s">
        <v>102</v>
      </c>
      <c r="O58" s="203" t="s">
        <v>103</v>
      </c>
      <c r="P58" s="203" t="s">
        <v>104</v>
      </c>
      <c r="Q58" s="273" t="s">
        <v>4</v>
      </c>
      <c r="R58" s="274"/>
    </row>
    <row r="59" spans="1:18" ht="16.5" hidden="1" customHeight="1" outlineLevel="1" x14ac:dyDescent="0.25">
      <c r="C59" s="282"/>
      <c r="D59" s="275"/>
      <c r="E59" s="275"/>
      <c r="F59" s="275"/>
      <c r="G59" s="275"/>
      <c r="H59" s="275"/>
      <c r="I59" s="275"/>
      <c r="J59" s="275"/>
      <c r="K59" s="275"/>
      <c r="L59" s="275"/>
      <c r="M59" s="275"/>
      <c r="N59" s="275"/>
      <c r="O59" s="275"/>
      <c r="P59" s="275"/>
      <c r="Q59" s="275"/>
      <c r="R59" s="283"/>
    </row>
    <row r="60" spans="1:18" ht="16.5" hidden="1" customHeight="1" outlineLevel="1" x14ac:dyDescent="0.25">
      <c r="C60" s="282"/>
      <c r="D60" s="284"/>
      <c r="E60" s="275"/>
      <c r="F60" s="275"/>
      <c r="G60" s="275"/>
      <c r="H60" s="275"/>
      <c r="I60" s="275"/>
      <c r="J60" s="275"/>
      <c r="K60" s="275"/>
      <c r="L60" s="275"/>
      <c r="M60" s="275"/>
      <c r="N60" s="275"/>
      <c r="O60" s="275"/>
      <c r="P60" s="275"/>
      <c r="Q60" s="277"/>
      <c r="R60" s="283"/>
    </row>
    <row r="61" spans="1:18" ht="16.5" hidden="1" customHeight="1" outlineLevel="1" x14ac:dyDescent="0.25">
      <c r="C61" s="282"/>
      <c r="D61" s="284"/>
      <c r="E61" s="275"/>
      <c r="F61" s="275"/>
      <c r="G61" s="275"/>
      <c r="H61" s="275"/>
      <c r="I61" s="275"/>
      <c r="J61" s="275"/>
      <c r="K61" s="275"/>
      <c r="L61" s="275"/>
      <c r="M61" s="275"/>
      <c r="N61" s="275"/>
      <c r="O61" s="275"/>
      <c r="P61" s="275"/>
      <c r="Q61" s="278"/>
      <c r="R61" s="283"/>
    </row>
    <row r="62" spans="1:18" ht="16.5" customHeight="1" collapsed="1" x14ac:dyDescent="0.25">
      <c r="C62" s="222" t="s">
        <v>110</v>
      </c>
      <c r="D62" s="225">
        <f>D50</f>
        <v>24</v>
      </c>
      <c r="E62" s="226">
        <f>E50+D62</f>
        <v>24</v>
      </c>
      <c r="F62" s="226">
        <f t="shared" ref="F62:P62" si="7">F50+E62</f>
        <v>24</v>
      </c>
      <c r="G62" s="226">
        <f t="shared" si="7"/>
        <v>24</v>
      </c>
      <c r="H62" s="226">
        <f t="shared" si="7"/>
        <v>24</v>
      </c>
      <c r="I62" s="226">
        <f t="shared" si="7"/>
        <v>24</v>
      </c>
      <c r="J62" s="226">
        <f t="shared" si="7"/>
        <v>24</v>
      </c>
      <c r="K62" s="226">
        <f t="shared" si="7"/>
        <v>24</v>
      </c>
      <c r="L62" s="226">
        <f t="shared" si="7"/>
        <v>24</v>
      </c>
      <c r="M62" s="226">
        <f t="shared" si="7"/>
        <v>24</v>
      </c>
      <c r="N62" s="226">
        <f t="shared" si="7"/>
        <v>24</v>
      </c>
      <c r="O62" s="226">
        <f t="shared" si="7"/>
        <v>24</v>
      </c>
      <c r="P62" s="226">
        <f t="shared" si="7"/>
        <v>24</v>
      </c>
      <c r="Q62" s="228">
        <f>P62</f>
        <v>24</v>
      </c>
      <c r="R62" s="276">
        <f>Q62/Q67</f>
        <v>0.36998574196260359</v>
      </c>
    </row>
    <row r="63" spans="1:18" ht="16.5" hidden="1" customHeight="1" outlineLevel="1" x14ac:dyDescent="0.25">
      <c r="C63" s="229" t="s">
        <v>73</v>
      </c>
      <c r="D63" s="230">
        <f t="shared" ref="D63:D66" si="8">D51</f>
        <v>0</v>
      </c>
      <c r="E63" s="231">
        <f t="shared" ref="E63:P63" si="9">E51+D63</f>
        <v>0</v>
      </c>
      <c r="F63" s="231">
        <f t="shared" si="9"/>
        <v>0</v>
      </c>
      <c r="G63" s="231">
        <f t="shared" si="9"/>
        <v>0</v>
      </c>
      <c r="H63" s="231">
        <f t="shared" si="9"/>
        <v>0</v>
      </c>
      <c r="I63" s="231">
        <f t="shared" si="9"/>
        <v>0</v>
      </c>
      <c r="J63" s="231">
        <f t="shared" si="9"/>
        <v>0</v>
      </c>
      <c r="K63" s="231">
        <f t="shared" si="9"/>
        <v>0</v>
      </c>
      <c r="L63" s="231">
        <f t="shared" si="9"/>
        <v>0</v>
      </c>
      <c r="M63" s="231">
        <f t="shared" si="9"/>
        <v>0</v>
      </c>
      <c r="N63" s="231">
        <f t="shared" si="9"/>
        <v>0</v>
      </c>
      <c r="O63" s="231">
        <f t="shared" si="9"/>
        <v>0</v>
      </c>
      <c r="P63" s="231">
        <f t="shared" si="9"/>
        <v>0</v>
      </c>
      <c r="Q63" s="232">
        <f t="shared" ref="Q63:Q67" si="10">P63</f>
        <v>0</v>
      </c>
      <c r="R63" s="279">
        <f>Q63/Q67</f>
        <v>0</v>
      </c>
    </row>
    <row r="64" spans="1:18" ht="16.5" hidden="1" customHeight="1" outlineLevel="1" x14ac:dyDescent="0.25">
      <c r="C64" s="222" t="s">
        <v>71</v>
      </c>
      <c r="D64" s="225">
        <f t="shared" si="8"/>
        <v>0</v>
      </c>
      <c r="E64" s="226">
        <f t="shared" ref="E64:P64" si="11">E52+D64</f>
        <v>0</v>
      </c>
      <c r="F64" s="226">
        <f t="shared" si="11"/>
        <v>0</v>
      </c>
      <c r="G64" s="226">
        <f t="shared" si="11"/>
        <v>0</v>
      </c>
      <c r="H64" s="226">
        <f t="shared" si="11"/>
        <v>0</v>
      </c>
      <c r="I64" s="226">
        <f t="shared" si="11"/>
        <v>0</v>
      </c>
      <c r="J64" s="226">
        <f t="shared" si="11"/>
        <v>0</v>
      </c>
      <c r="K64" s="226">
        <f t="shared" si="11"/>
        <v>0</v>
      </c>
      <c r="L64" s="226">
        <f t="shared" si="11"/>
        <v>0</v>
      </c>
      <c r="M64" s="226">
        <f t="shared" si="11"/>
        <v>0</v>
      </c>
      <c r="N64" s="226">
        <f t="shared" si="11"/>
        <v>0</v>
      </c>
      <c r="O64" s="226">
        <f t="shared" si="11"/>
        <v>0</v>
      </c>
      <c r="P64" s="226">
        <f t="shared" si="11"/>
        <v>0</v>
      </c>
      <c r="Q64" s="228">
        <f t="shared" si="10"/>
        <v>0</v>
      </c>
      <c r="R64" s="276">
        <f>Q64/Q67</f>
        <v>0</v>
      </c>
    </row>
    <row r="65" spans="1:18" ht="16.5" customHeight="1" collapsed="1" x14ac:dyDescent="0.25">
      <c r="C65" s="222" t="s">
        <v>72</v>
      </c>
      <c r="D65" s="225">
        <f t="shared" si="8"/>
        <v>0</v>
      </c>
      <c r="E65" s="226">
        <f t="shared" ref="E65:P65" si="12">E53+D65</f>
        <v>0.7849914150590096</v>
      </c>
      <c r="F65" s="226">
        <f t="shared" si="12"/>
        <v>1.5552558172044426</v>
      </c>
      <c r="G65" s="226">
        <f t="shared" si="12"/>
        <v>2.188831499137887</v>
      </c>
      <c r="H65" s="226">
        <f t="shared" si="12"/>
        <v>2.7266860889939744</v>
      </c>
      <c r="I65" s="226">
        <f t="shared" si="12"/>
        <v>3.1990127700266355</v>
      </c>
      <c r="J65" s="226">
        <f t="shared" si="12"/>
        <v>3.6229627389147923</v>
      </c>
      <c r="K65" s="226">
        <f t="shared" si="12"/>
        <v>4.0098783424172613</v>
      </c>
      <c r="L65" s="226">
        <f t="shared" si="12"/>
        <v>4.3670080228207988</v>
      </c>
      <c r="M65" s="226">
        <f t="shared" si="12"/>
        <v>4.6996674222326318</v>
      </c>
      <c r="N65" s="226">
        <f t="shared" si="12"/>
        <v>5.0119534612933423</v>
      </c>
      <c r="O65" s="226">
        <f t="shared" si="12"/>
        <v>5.3066231700924611</v>
      </c>
      <c r="P65" s="226">
        <f t="shared" si="12"/>
        <v>5.5861463788532255</v>
      </c>
      <c r="Q65" s="228">
        <f t="shared" si="10"/>
        <v>5.5861463788532255</v>
      </c>
      <c r="R65" s="276">
        <f>Q65/Q67</f>
        <v>8.6116438028821754E-2</v>
      </c>
    </row>
    <row r="66" spans="1:18" ht="16.5" customHeight="1" x14ac:dyDescent="0.25">
      <c r="C66" s="222" t="s">
        <v>3</v>
      </c>
      <c r="D66" s="225">
        <f t="shared" si="8"/>
        <v>0</v>
      </c>
      <c r="E66" s="226">
        <f t="shared" ref="E66:P66" si="13">E54+D66</f>
        <v>3.9249570752950484</v>
      </c>
      <c r="F66" s="226">
        <f t="shared" si="13"/>
        <v>7.776279086022214</v>
      </c>
      <c r="G66" s="226">
        <f t="shared" si="13"/>
        <v>11.253218803949654</v>
      </c>
      <c r="H66" s="226">
        <f t="shared" si="13"/>
        <v>14.455341717941067</v>
      </c>
      <c r="I66" s="226">
        <f t="shared" si="13"/>
        <v>17.459910907784064</v>
      </c>
      <c r="J66" s="226">
        <f t="shared" si="13"/>
        <v>20.309323387120294</v>
      </c>
      <c r="K66" s="226">
        <f t="shared" si="13"/>
        <v>23.033650025705718</v>
      </c>
      <c r="L66" s="226">
        <f t="shared" si="13"/>
        <v>25.650548545904051</v>
      </c>
      <c r="M66" s="226">
        <f t="shared" si="13"/>
        <v>28.173926468792953</v>
      </c>
      <c r="N66" s="226">
        <f t="shared" si="13"/>
        <v>30.615647364433855</v>
      </c>
      <c r="O66" s="226">
        <f t="shared" si="13"/>
        <v>32.982165751162533</v>
      </c>
      <c r="P66" s="226">
        <f t="shared" si="13"/>
        <v>35.281218165226441</v>
      </c>
      <c r="Q66" s="228">
        <f t="shared" si="10"/>
        <v>35.281218165226441</v>
      </c>
      <c r="R66" s="276">
        <f>Q66/Q67</f>
        <v>0.54389782000857467</v>
      </c>
    </row>
    <row r="67" spans="1:18" ht="16.5" customHeight="1" x14ac:dyDescent="0.25">
      <c r="C67" s="285" t="s">
        <v>4</v>
      </c>
      <c r="D67" s="286">
        <f>SUM(D62:D66)</f>
        <v>24</v>
      </c>
      <c r="E67" s="287">
        <f t="shared" ref="E67:P67" si="14">SUM(E62:E66)</f>
        <v>28.709948490354058</v>
      </c>
      <c r="F67" s="287">
        <f t="shared" si="14"/>
        <v>33.331534903226654</v>
      </c>
      <c r="G67" s="287">
        <f t="shared" si="14"/>
        <v>37.442050303087541</v>
      </c>
      <c r="H67" s="287">
        <f t="shared" si="14"/>
        <v>41.182027806935039</v>
      </c>
      <c r="I67" s="287">
        <f t="shared" si="14"/>
        <v>44.658923677810698</v>
      </c>
      <c r="J67" s="287">
        <f t="shared" si="14"/>
        <v>47.932286126035088</v>
      </c>
      <c r="K67" s="287">
        <f t="shared" si="14"/>
        <v>51.043528368122978</v>
      </c>
      <c r="L67" s="287">
        <f t="shared" si="14"/>
        <v>54.017556568724849</v>
      </c>
      <c r="M67" s="287">
        <f t="shared" si="14"/>
        <v>56.873593891025585</v>
      </c>
      <c r="N67" s="287">
        <f t="shared" si="14"/>
        <v>59.6276008257272</v>
      </c>
      <c r="O67" s="287">
        <f t="shared" si="14"/>
        <v>62.288788921254991</v>
      </c>
      <c r="P67" s="287">
        <f t="shared" si="14"/>
        <v>64.867364544079663</v>
      </c>
      <c r="Q67" s="280">
        <f t="shared" si="10"/>
        <v>64.867364544079663</v>
      </c>
      <c r="R67" s="281">
        <f>Q67/Q67</f>
        <v>1</v>
      </c>
    </row>
    <row r="70" spans="1:18" ht="16.5" customHeight="1" x14ac:dyDescent="0.25">
      <c r="A70" s="207"/>
      <c r="B70" s="207"/>
      <c r="C70" s="208" t="s">
        <v>129</v>
      </c>
      <c r="D70" s="202" t="s">
        <v>104</v>
      </c>
      <c r="E70" s="203" t="s">
        <v>93</v>
      </c>
      <c r="F70" s="203" t="s">
        <v>94</v>
      </c>
      <c r="G70" s="203" t="s">
        <v>95</v>
      </c>
      <c r="H70" s="203" t="s">
        <v>96</v>
      </c>
      <c r="I70" s="203" t="s">
        <v>97</v>
      </c>
      <c r="J70" s="203" t="s">
        <v>98</v>
      </c>
      <c r="K70" s="203" t="s">
        <v>99</v>
      </c>
      <c r="L70" s="203" t="s">
        <v>100</v>
      </c>
      <c r="M70" s="203" t="s">
        <v>101</v>
      </c>
      <c r="N70" s="203" t="s">
        <v>102</v>
      </c>
      <c r="O70" s="203" t="s">
        <v>103</v>
      </c>
      <c r="P70" s="203" t="s">
        <v>104</v>
      </c>
      <c r="Q70" s="273" t="s">
        <v>4</v>
      </c>
      <c r="R70" s="274"/>
    </row>
    <row r="71" spans="1:18" ht="16.5" hidden="1" customHeight="1" outlineLevel="1" x14ac:dyDescent="0.25">
      <c r="C71" s="282" t="s">
        <v>128</v>
      </c>
      <c r="D71" s="275" t="s">
        <v>105</v>
      </c>
      <c r="E71" s="275"/>
      <c r="F71" s="275"/>
      <c r="G71" s="275"/>
      <c r="H71" s="275"/>
      <c r="I71" s="275"/>
      <c r="J71" s="275"/>
      <c r="K71" s="275"/>
      <c r="L71" s="275"/>
      <c r="M71" s="275"/>
      <c r="N71" s="275"/>
      <c r="O71" s="275"/>
      <c r="P71" s="275"/>
      <c r="Q71" s="275"/>
      <c r="R71" s="283"/>
    </row>
    <row r="72" spans="1:18" ht="16.5" hidden="1" customHeight="1" outlineLevel="1" x14ac:dyDescent="0.25">
      <c r="C72" s="282"/>
      <c r="D72" s="284" t="s">
        <v>106</v>
      </c>
      <c r="E72" s="275" t="s">
        <v>92</v>
      </c>
      <c r="F72" s="275"/>
      <c r="G72" s="275"/>
      <c r="H72" s="275"/>
      <c r="I72" s="275"/>
      <c r="J72" s="275"/>
      <c r="K72" s="275"/>
      <c r="L72" s="275"/>
      <c r="M72" s="275"/>
      <c r="N72" s="275"/>
      <c r="O72" s="275"/>
      <c r="P72" s="275"/>
      <c r="Q72" s="277" t="s">
        <v>70</v>
      </c>
      <c r="R72" s="283"/>
    </row>
    <row r="73" spans="1:18" ht="16.5" hidden="1" customHeight="1" outlineLevel="1" x14ac:dyDescent="0.25">
      <c r="C73" s="282" t="s">
        <v>30</v>
      </c>
      <c r="D73" s="284" t="s">
        <v>104</v>
      </c>
      <c r="E73" s="275" t="s">
        <v>93</v>
      </c>
      <c r="F73" s="275" t="s">
        <v>94</v>
      </c>
      <c r="G73" s="275" t="s">
        <v>95</v>
      </c>
      <c r="H73" s="275" t="s">
        <v>96</v>
      </c>
      <c r="I73" s="275" t="s">
        <v>97</v>
      </c>
      <c r="J73" s="275" t="s">
        <v>98</v>
      </c>
      <c r="K73" s="275" t="s">
        <v>99</v>
      </c>
      <c r="L73" s="275" t="s">
        <v>100</v>
      </c>
      <c r="M73" s="275" t="s">
        <v>101</v>
      </c>
      <c r="N73" s="275" t="s">
        <v>102</v>
      </c>
      <c r="O73" s="275" t="s">
        <v>103</v>
      </c>
      <c r="P73" s="275" t="s">
        <v>104</v>
      </c>
      <c r="Q73" s="278"/>
      <c r="R73" s="283"/>
    </row>
    <row r="74" spans="1:18" ht="16.5" customHeight="1" collapsed="1" x14ac:dyDescent="0.25">
      <c r="A74" s="196" t="b">
        <f>C74=C62</f>
        <v>1</v>
      </c>
      <c r="C74" s="222" t="str">
        <f t="shared" ref="C74:C78" si="15">C62</f>
        <v>Investor</v>
      </c>
      <c r="D74" s="225">
        <f t="shared" ref="D74:O74" si="16">D62*token_index</f>
        <v>240</v>
      </c>
      <c r="E74" s="226">
        <f t="shared" si="16"/>
        <v>244.50462362916147</v>
      </c>
      <c r="F74" s="226">
        <f t="shared" si="16"/>
        <v>249.09379573349128</v>
      </c>
      <c r="G74" s="226">
        <f t="shared" si="16"/>
        <v>253.76910322573548</v>
      </c>
      <c r="H74" s="226">
        <f t="shared" si="16"/>
        <v>258.53216280382617</v>
      </c>
      <c r="I74" s="226">
        <f t="shared" si="16"/>
        <v>263.38462150992757</v>
      </c>
      <c r="J74" s="226">
        <f t="shared" si="16"/>
        <v>268.32815729997492</v>
      </c>
      <c r="K74" s="226">
        <f t="shared" si="16"/>
        <v>273.36447962390338</v>
      </c>
      <c r="L74" s="226">
        <f t="shared" si="16"/>
        <v>278.49533001676696</v>
      </c>
      <c r="M74" s="226">
        <f t="shared" si="16"/>
        <v>283.72248270095298</v>
      </c>
      <c r="N74" s="226">
        <f t="shared" si="16"/>
        <v>289.04774519969914</v>
      </c>
      <c r="O74" s="226">
        <f t="shared" si="16"/>
        <v>294.4729589621258</v>
      </c>
      <c r="P74" s="226">
        <f>P62*token_index</f>
        <v>300.00000000000034</v>
      </c>
      <c r="Q74" s="228">
        <f>Q62*token_index</f>
        <v>300.00000000000034</v>
      </c>
      <c r="R74" s="276">
        <f>Q74/Q79</f>
        <v>0.36998574196260359</v>
      </c>
    </row>
    <row r="75" spans="1:18" ht="16.5" hidden="1" customHeight="1" outlineLevel="1" x14ac:dyDescent="0.25">
      <c r="A75" s="196" t="b">
        <f t="shared" ref="A75:A79" si="17">C75=C63</f>
        <v>1</v>
      </c>
      <c r="C75" s="229" t="str">
        <f t="shared" si="15"/>
        <v>Clients</v>
      </c>
      <c r="D75" s="230">
        <f t="shared" ref="D75:P75" si="18">D63*token_index</f>
        <v>0</v>
      </c>
      <c r="E75" s="231">
        <f t="shared" si="18"/>
        <v>0</v>
      </c>
      <c r="F75" s="231">
        <f t="shared" si="18"/>
        <v>0</v>
      </c>
      <c r="G75" s="231">
        <f t="shared" si="18"/>
        <v>0</v>
      </c>
      <c r="H75" s="231">
        <f t="shared" si="18"/>
        <v>0</v>
      </c>
      <c r="I75" s="231">
        <f t="shared" si="18"/>
        <v>0</v>
      </c>
      <c r="J75" s="231">
        <f t="shared" si="18"/>
        <v>0</v>
      </c>
      <c r="K75" s="231">
        <f t="shared" si="18"/>
        <v>0</v>
      </c>
      <c r="L75" s="231">
        <f t="shared" si="18"/>
        <v>0</v>
      </c>
      <c r="M75" s="231">
        <f t="shared" si="18"/>
        <v>0</v>
      </c>
      <c r="N75" s="231">
        <f t="shared" si="18"/>
        <v>0</v>
      </c>
      <c r="O75" s="231">
        <f t="shared" si="18"/>
        <v>0</v>
      </c>
      <c r="P75" s="231">
        <f t="shared" si="18"/>
        <v>0</v>
      </c>
      <c r="Q75" s="232">
        <f t="shared" ref="Q75" si="19">Q63*token_index</f>
        <v>0</v>
      </c>
      <c r="R75" s="279">
        <f>Q75/Q79</f>
        <v>0</v>
      </c>
    </row>
    <row r="76" spans="1:18" ht="16.5" hidden="1" customHeight="1" outlineLevel="1" x14ac:dyDescent="0.25">
      <c r="A76" s="196" t="b">
        <f t="shared" si="17"/>
        <v>1</v>
      </c>
      <c r="C76" s="222" t="str">
        <f t="shared" si="15"/>
        <v>Suppliers</v>
      </c>
      <c r="D76" s="225">
        <f t="shared" ref="D76:P76" si="20">D64*token_index</f>
        <v>0</v>
      </c>
      <c r="E76" s="226">
        <f t="shared" si="20"/>
        <v>0</v>
      </c>
      <c r="F76" s="226">
        <f t="shared" si="20"/>
        <v>0</v>
      </c>
      <c r="G76" s="226">
        <f t="shared" si="20"/>
        <v>0</v>
      </c>
      <c r="H76" s="226">
        <f t="shared" si="20"/>
        <v>0</v>
      </c>
      <c r="I76" s="226">
        <f t="shared" si="20"/>
        <v>0</v>
      </c>
      <c r="J76" s="226">
        <f t="shared" si="20"/>
        <v>0</v>
      </c>
      <c r="K76" s="226">
        <f t="shared" si="20"/>
        <v>0</v>
      </c>
      <c r="L76" s="226">
        <f t="shared" si="20"/>
        <v>0</v>
      </c>
      <c r="M76" s="226">
        <f t="shared" si="20"/>
        <v>0</v>
      </c>
      <c r="N76" s="226">
        <f t="shared" si="20"/>
        <v>0</v>
      </c>
      <c r="O76" s="226">
        <f t="shared" si="20"/>
        <v>0</v>
      </c>
      <c r="P76" s="226">
        <f t="shared" si="20"/>
        <v>0</v>
      </c>
      <c r="Q76" s="228">
        <f t="shared" ref="Q76" si="21">Q64*token_index</f>
        <v>0</v>
      </c>
      <c r="R76" s="276">
        <f>Q76/Q79</f>
        <v>0</v>
      </c>
    </row>
    <row r="77" spans="1:18" ht="16.5" customHeight="1" collapsed="1" x14ac:dyDescent="0.25">
      <c r="A77" s="196" t="b">
        <f t="shared" si="17"/>
        <v>1</v>
      </c>
      <c r="C77" s="222" t="str">
        <f t="shared" si="15"/>
        <v>Landlord</v>
      </c>
      <c r="D77" s="225">
        <f t="shared" ref="D77:P77" si="22">D65*token_index</f>
        <v>0</v>
      </c>
      <c r="E77" s="226">
        <f t="shared" si="22"/>
        <v>7.9972512704635834</v>
      </c>
      <c r="F77" s="226">
        <f t="shared" si="22"/>
        <v>16.141857285168644</v>
      </c>
      <c r="G77" s="226">
        <f t="shared" si="22"/>
        <v>23.144075277019326</v>
      </c>
      <c r="H77" s="226">
        <f t="shared" si="22"/>
        <v>29.372335494779925</v>
      </c>
      <c r="I77" s="226">
        <f t="shared" si="22"/>
        <v>35.1071153182871</v>
      </c>
      <c r="J77" s="226">
        <f t="shared" si="22"/>
        <v>40.505954820811517</v>
      </c>
      <c r="K77" s="226">
        <f t="shared" si="22"/>
        <v>45.673262767918949</v>
      </c>
      <c r="L77" s="226">
        <f t="shared" si="22"/>
        <v>50.674639187556139</v>
      </c>
      <c r="M77" s="226">
        <f t="shared" si="22"/>
        <v>55.558387871026262</v>
      </c>
      <c r="N77" s="226">
        <f t="shared" si="22"/>
        <v>60.36224362636117</v>
      </c>
      <c r="O77" s="226">
        <f t="shared" si="22"/>
        <v>65.110709458087641</v>
      </c>
      <c r="P77" s="226">
        <f t="shared" si="22"/>
        <v>69.826829735665399</v>
      </c>
      <c r="Q77" s="228">
        <f t="shared" ref="Q77" si="23">Q65*token_index</f>
        <v>69.826829735665399</v>
      </c>
      <c r="R77" s="276">
        <f>Q77/Q79</f>
        <v>8.6116438028821754E-2</v>
      </c>
    </row>
    <row r="78" spans="1:18" ht="16.5" customHeight="1" x14ac:dyDescent="0.25">
      <c r="A78" s="196" t="b">
        <f t="shared" si="17"/>
        <v>1</v>
      </c>
      <c r="C78" s="222" t="str">
        <f t="shared" si="15"/>
        <v>Alphonse</v>
      </c>
      <c r="D78" s="225">
        <f t="shared" ref="D78:P78" si="24">D66*token_index</f>
        <v>0</v>
      </c>
      <c r="E78" s="226">
        <f t="shared" si="24"/>
        <v>39.986256352317923</v>
      </c>
      <c r="F78" s="226">
        <f t="shared" si="24"/>
        <v>80.709286425843231</v>
      </c>
      <c r="G78" s="226">
        <f t="shared" si="24"/>
        <v>118.98830184505364</v>
      </c>
      <c r="H78" s="226">
        <f t="shared" si="24"/>
        <v>155.71544826698667</v>
      </c>
      <c r="I78" s="226">
        <f t="shared" si="24"/>
        <v>191.61133441849006</v>
      </c>
      <c r="J78" s="226">
        <f t="shared" si="24"/>
        <v>227.06513835313643</v>
      </c>
      <c r="K78" s="226">
        <f t="shared" si="24"/>
        <v>262.35757304650633</v>
      </c>
      <c r="L78" s="226">
        <f t="shared" si="24"/>
        <v>297.6482492667771</v>
      </c>
      <c r="M78" s="226">
        <f t="shared" si="24"/>
        <v>333.0656818816679</v>
      </c>
      <c r="N78" s="226">
        <f t="shared" si="24"/>
        <v>368.72432660494655</v>
      </c>
      <c r="O78" s="226">
        <f t="shared" si="24"/>
        <v>404.68149757183818</v>
      </c>
      <c r="P78" s="226">
        <f t="shared" si="24"/>
        <v>441.01522706533103</v>
      </c>
      <c r="Q78" s="228">
        <f t="shared" ref="Q78" si="25">Q66*token_index</f>
        <v>441.01522706533103</v>
      </c>
      <c r="R78" s="276">
        <f>Q78/Q79</f>
        <v>0.54389782000857467</v>
      </c>
    </row>
    <row r="79" spans="1:18" ht="16.5" customHeight="1" x14ac:dyDescent="0.25">
      <c r="A79" s="196" t="b">
        <f t="shared" si="17"/>
        <v>1</v>
      </c>
      <c r="C79" s="285" t="s">
        <v>4</v>
      </c>
      <c r="D79" s="286">
        <f t="shared" ref="D79:P79" si="26">D67*token_index</f>
        <v>240</v>
      </c>
      <c r="E79" s="287">
        <f t="shared" si="26"/>
        <v>292.48813125194295</v>
      </c>
      <c r="F79" s="287">
        <f t="shared" si="26"/>
        <v>345.94493944450312</v>
      </c>
      <c r="G79" s="287">
        <f t="shared" si="26"/>
        <v>395.90148034780844</v>
      </c>
      <c r="H79" s="287">
        <f t="shared" si="26"/>
        <v>443.61994656559273</v>
      </c>
      <c r="I79" s="287">
        <f t="shared" si="26"/>
        <v>490.1030712467047</v>
      </c>
      <c r="J79" s="287">
        <f t="shared" si="26"/>
        <v>535.89925047392296</v>
      </c>
      <c r="K79" s="287">
        <f t="shared" si="26"/>
        <v>581.39531543832868</v>
      </c>
      <c r="L79" s="287">
        <f t="shared" si="26"/>
        <v>626.81821847110018</v>
      </c>
      <c r="M79" s="287">
        <f t="shared" si="26"/>
        <v>672.34655245364718</v>
      </c>
      <c r="N79" s="287">
        <f t="shared" si="26"/>
        <v>718.13431543100683</v>
      </c>
      <c r="O79" s="287">
        <f t="shared" si="26"/>
        <v>764.26516599205161</v>
      </c>
      <c r="P79" s="287">
        <f t="shared" si="26"/>
        <v>810.84205680099672</v>
      </c>
      <c r="Q79" s="280">
        <f t="shared" ref="Q79" si="27">Q67*token_index</f>
        <v>810.84205680099672</v>
      </c>
      <c r="R79" s="281">
        <f>Q79/Q79</f>
        <v>1</v>
      </c>
    </row>
    <row r="82" spans="1:40" ht="16.5" customHeight="1" x14ac:dyDescent="0.25">
      <c r="B82" s="199" t="s">
        <v>160</v>
      </c>
      <c r="C82" s="200"/>
      <c r="D82" s="201"/>
      <c r="E82" s="201"/>
      <c r="F82" s="201"/>
      <c r="G82" s="201"/>
      <c r="H82" s="201"/>
      <c r="I82" s="201"/>
      <c r="J82" s="201"/>
      <c r="K82" s="201"/>
      <c r="L82" s="201"/>
      <c r="M82" s="201"/>
      <c r="N82" s="201"/>
      <c r="O82" s="201"/>
      <c r="P82" s="201"/>
      <c r="Q82" s="201"/>
      <c r="R82" s="200"/>
      <c r="S82" s="200"/>
    </row>
    <row r="84" spans="1:40" ht="16.5" customHeight="1" x14ac:dyDescent="0.25">
      <c r="C84" s="288" t="s">
        <v>147</v>
      </c>
      <c r="D84" s="289" t="s">
        <v>13</v>
      </c>
      <c r="E84" s="290" t="s">
        <v>148</v>
      </c>
      <c r="F84" s="291"/>
      <c r="G84" s="291"/>
      <c r="H84" s="291"/>
      <c r="I84" s="291"/>
      <c r="J84" s="291"/>
      <c r="K84" s="291"/>
      <c r="L84" s="291"/>
      <c r="M84" s="292"/>
      <c r="N84" s="293"/>
      <c r="O84" s="293"/>
      <c r="P84" s="294" t="s">
        <v>150</v>
      </c>
      <c r="Q84" s="295"/>
    </row>
    <row r="85" spans="1:40" ht="16.5" customHeight="1" x14ac:dyDescent="0.25">
      <c r="C85" s="296"/>
      <c r="D85" s="297"/>
      <c r="E85" s="298" t="s">
        <v>154</v>
      </c>
      <c r="F85" s="299"/>
      <c r="G85" s="299"/>
      <c r="H85" s="299"/>
      <c r="I85" s="299"/>
      <c r="J85" s="298" t="s">
        <v>146</v>
      </c>
      <c r="K85" s="300"/>
      <c r="L85" s="299"/>
      <c r="M85" s="301" t="s">
        <v>153</v>
      </c>
      <c r="N85" s="298"/>
      <c r="O85" s="301"/>
      <c r="P85" s="302"/>
      <c r="Q85" s="303"/>
    </row>
    <row r="86" spans="1:40" ht="30.4" customHeight="1" x14ac:dyDescent="0.25">
      <c r="C86" s="296"/>
      <c r="D86" s="297"/>
      <c r="E86" s="304" t="s">
        <v>130</v>
      </c>
      <c r="F86" s="305"/>
      <c r="G86" s="306" t="s">
        <v>131</v>
      </c>
      <c r="H86" s="306"/>
      <c r="I86" s="306"/>
      <c r="J86" s="304" t="s">
        <v>132</v>
      </c>
      <c r="K86" s="305" t="s">
        <v>133</v>
      </c>
      <c r="L86" s="306" t="s">
        <v>152</v>
      </c>
      <c r="M86" s="307" t="s">
        <v>130</v>
      </c>
      <c r="N86" s="308" t="s">
        <v>131</v>
      </c>
      <c r="O86" s="309" t="s">
        <v>151</v>
      </c>
      <c r="P86" s="302"/>
      <c r="Q86" s="303"/>
    </row>
    <row r="87" spans="1:40" ht="16.5" customHeight="1" x14ac:dyDescent="0.25">
      <c r="A87" s="207"/>
      <c r="B87" s="207"/>
      <c r="C87" s="310"/>
      <c r="D87" s="311" t="s">
        <v>1</v>
      </c>
      <c r="E87" s="312" t="s">
        <v>1</v>
      </c>
      <c r="F87" s="313" t="s">
        <v>2</v>
      </c>
      <c r="G87" s="314" t="s">
        <v>155</v>
      </c>
      <c r="H87" s="314" t="s">
        <v>1</v>
      </c>
      <c r="I87" s="314" t="s">
        <v>2</v>
      </c>
      <c r="J87" s="312" t="s">
        <v>1</v>
      </c>
      <c r="K87" s="313" t="s">
        <v>1</v>
      </c>
      <c r="L87" s="314" t="s">
        <v>1</v>
      </c>
      <c r="M87" s="312" t="s">
        <v>1</v>
      </c>
      <c r="N87" s="313" t="s">
        <v>1</v>
      </c>
      <c r="O87" s="312" t="s">
        <v>1</v>
      </c>
      <c r="P87" s="312" t="s">
        <v>1</v>
      </c>
      <c r="Q87" s="313" t="s">
        <v>149</v>
      </c>
    </row>
    <row r="88" spans="1:40" ht="16.5" hidden="1" customHeight="1" outlineLevel="1" x14ac:dyDescent="0.25">
      <c r="C88" s="315"/>
      <c r="D88" s="316"/>
      <c r="E88" s="317"/>
      <c r="F88" s="318"/>
      <c r="G88" s="201"/>
      <c r="H88" s="201"/>
      <c r="I88" s="201"/>
      <c r="J88" s="317"/>
      <c r="K88" s="318"/>
      <c r="L88" s="201"/>
      <c r="M88" s="317"/>
      <c r="N88" s="318"/>
      <c r="O88" s="317"/>
      <c r="P88" s="254"/>
      <c r="Q88" s="319"/>
    </row>
    <row r="89" spans="1:40" ht="16.5" hidden="1" customHeight="1" outlineLevel="1" x14ac:dyDescent="0.25">
      <c r="C89" s="315"/>
      <c r="D89" s="316"/>
      <c r="E89" s="317"/>
      <c r="F89" s="318"/>
      <c r="G89" s="201"/>
      <c r="H89" s="201"/>
      <c r="I89" s="201"/>
      <c r="J89" s="317"/>
      <c r="K89" s="318"/>
      <c r="L89" s="201"/>
      <c r="M89" s="317"/>
      <c r="N89" s="318"/>
      <c r="O89" s="317"/>
      <c r="P89" s="254"/>
      <c r="Q89" s="319"/>
    </row>
    <row r="90" spans="1:40" ht="16.5" hidden="1" customHeight="1" outlineLevel="1" collapsed="1" x14ac:dyDescent="0.25">
      <c r="C90" s="315"/>
      <c r="D90" s="316"/>
      <c r="E90" s="317"/>
      <c r="F90" s="318"/>
      <c r="G90" s="201"/>
      <c r="H90" s="201"/>
      <c r="I90" s="201"/>
      <c r="J90" s="317"/>
      <c r="K90" s="318"/>
      <c r="L90" s="201"/>
      <c r="M90" s="317"/>
      <c r="N90" s="318"/>
      <c r="O90" s="317"/>
      <c r="P90" s="254"/>
      <c r="Q90" s="319"/>
    </row>
    <row r="91" spans="1:40" ht="16.5" customHeight="1" collapsed="1" x14ac:dyDescent="0.25">
      <c r="A91" s="196" t="b">
        <f t="shared" ref="A91:A96" si="28">C91=C74</f>
        <v>1</v>
      </c>
      <c r="C91" s="320" t="str">
        <f>C74</f>
        <v>Investor</v>
      </c>
      <c r="D91" s="321"/>
      <c r="E91" s="228">
        <f>Q38</f>
        <v>300</v>
      </c>
      <c r="F91" s="322">
        <f>E91/E96</f>
        <v>0.44576523031203569</v>
      </c>
      <c r="G91" s="226">
        <f>Q62</f>
        <v>24</v>
      </c>
      <c r="H91" s="226">
        <f t="shared" ref="H91:H96" si="29">Q74</f>
        <v>300.00000000000034</v>
      </c>
      <c r="I91" s="276">
        <f>H91/H96</f>
        <v>0.36998574196260359</v>
      </c>
      <c r="J91" s="228">
        <f>$F91*J$96</f>
        <v>126.37444279346212</v>
      </c>
      <c r="K91" s="225">
        <f>$I91*K$96</f>
        <v>104.89095784639812</v>
      </c>
      <c r="L91" s="226">
        <f>K91+J91</f>
        <v>231.26540063986025</v>
      </c>
      <c r="M91" s="228">
        <f t="shared" ref="M91:M96" si="30">E91-J91</f>
        <v>173.62555720653788</v>
      </c>
      <c r="N91" s="225">
        <f t="shared" ref="N91:N96" si="31">H91</f>
        <v>300.00000000000034</v>
      </c>
      <c r="O91" s="228">
        <f t="shared" ref="O91:O96" si="32">N91+M91</f>
        <v>473.62555720653825</v>
      </c>
      <c r="P91" s="323">
        <f t="shared" ref="P91:P96" si="33">K91+D91+J91</f>
        <v>231.26540063986025</v>
      </c>
      <c r="Q91" s="324">
        <f>P91/12</f>
        <v>19.272116719988354</v>
      </c>
      <c r="AN91" s="325"/>
    </row>
    <row r="92" spans="1:40" ht="16.5" hidden="1" customHeight="1" outlineLevel="1" x14ac:dyDescent="0.25">
      <c r="A92" s="196" t="b">
        <f t="shared" si="28"/>
        <v>1</v>
      </c>
      <c r="C92" s="326" t="str">
        <f>C75</f>
        <v>Clients</v>
      </c>
      <c r="D92" s="327"/>
      <c r="E92" s="328">
        <f>Q39</f>
        <v>0</v>
      </c>
      <c r="F92" s="329">
        <f>E92/E96</f>
        <v>0</v>
      </c>
      <c r="G92" s="330">
        <f>Q63</f>
        <v>0</v>
      </c>
      <c r="H92" s="330">
        <f t="shared" si="29"/>
        <v>0</v>
      </c>
      <c r="I92" s="279">
        <f>H92/H96</f>
        <v>0</v>
      </c>
      <c r="J92" s="328">
        <f>$F92*J$96</f>
        <v>0</v>
      </c>
      <c r="K92" s="331">
        <f>$I92*K$96</f>
        <v>0</v>
      </c>
      <c r="L92" s="330">
        <f>K92+J92</f>
        <v>0</v>
      </c>
      <c r="M92" s="328">
        <f t="shared" si="30"/>
        <v>0</v>
      </c>
      <c r="N92" s="225">
        <f t="shared" si="31"/>
        <v>0</v>
      </c>
      <c r="O92" s="228">
        <f t="shared" si="32"/>
        <v>0</v>
      </c>
      <c r="P92" s="254">
        <f t="shared" si="33"/>
        <v>0</v>
      </c>
      <c r="Q92" s="319"/>
    </row>
    <row r="93" spans="1:40" ht="16.5" hidden="1" customHeight="1" outlineLevel="1" x14ac:dyDescent="0.25">
      <c r="A93" s="196" t="b">
        <f t="shared" si="28"/>
        <v>1</v>
      </c>
      <c r="C93" s="320" t="str">
        <f>C76</f>
        <v>Suppliers</v>
      </c>
      <c r="D93" s="321"/>
      <c r="E93" s="228">
        <f>Q40</f>
        <v>0</v>
      </c>
      <c r="F93" s="322">
        <f>E93/E96</f>
        <v>0</v>
      </c>
      <c r="G93" s="226">
        <f>Q64</f>
        <v>0</v>
      </c>
      <c r="H93" s="226">
        <f t="shared" si="29"/>
        <v>0</v>
      </c>
      <c r="I93" s="276">
        <f>H93/H96</f>
        <v>0</v>
      </c>
      <c r="J93" s="228">
        <f>$F93*J$96</f>
        <v>0</v>
      </c>
      <c r="K93" s="225">
        <f>$I93*K$96</f>
        <v>0</v>
      </c>
      <c r="L93" s="226">
        <f>K93+J93</f>
        <v>0</v>
      </c>
      <c r="M93" s="228">
        <f t="shared" si="30"/>
        <v>0</v>
      </c>
      <c r="N93" s="225">
        <f t="shared" si="31"/>
        <v>0</v>
      </c>
      <c r="O93" s="228">
        <f t="shared" si="32"/>
        <v>0</v>
      </c>
      <c r="P93" s="254">
        <f t="shared" si="33"/>
        <v>0</v>
      </c>
      <c r="Q93" s="319"/>
    </row>
    <row r="94" spans="1:40" ht="16.5" customHeight="1" collapsed="1" x14ac:dyDescent="0.25">
      <c r="A94" s="196" t="b">
        <f t="shared" si="28"/>
        <v>1</v>
      </c>
      <c r="C94" s="320" t="str">
        <f>C77</f>
        <v>Landlord</v>
      </c>
      <c r="D94" s="321">
        <f>-Q27</f>
        <v>459.14285714285711</v>
      </c>
      <c r="E94" s="228">
        <f>Q41</f>
        <v>20.857142857142861</v>
      </c>
      <c r="F94" s="322">
        <f>E94/E96</f>
        <v>3.0991296964551055E-2</v>
      </c>
      <c r="G94" s="226">
        <f>Q65</f>
        <v>5.5861463788532255</v>
      </c>
      <c r="H94" s="226">
        <f t="shared" si="29"/>
        <v>69.826829735665399</v>
      </c>
      <c r="I94" s="276">
        <f>H94/H96</f>
        <v>8.6116438028821754E-2</v>
      </c>
      <c r="J94" s="228">
        <f>$F94*J$96</f>
        <v>8.7860326894502236</v>
      </c>
      <c r="K94" s="225">
        <f>$I94*K$96</f>
        <v>24.414010181170966</v>
      </c>
      <c r="L94" s="226">
        <f>K94+J94</f>
        <v>33.200042870621189</v>
      </c>
      <c r="M94" s="228">
        <f t="shared" si="30"/>
        <v>12.071110167692638</v>
      </c>
      <c r="N94" s="225">
        <f t="shared" si="31"/>
        <v>69.826829735665399</v>
      </c>
      <c r="O94" s="228">
        <f t="shared" si="32"/>
        <v>81.897939903358036</v>
      </c>
      <c r="P94" s="323">
        <f t="shared" si="33"/>
        <v>492.3429000134783</v>
      </c>
      <c r="Q94" s="324">
        <f>P94/12</f>
        <v>41.028575001123194</v>
      </c>
      <c r="T94" s="332"/>
      <c r="AM94" s="333"/>
    </row>
    <row r="95" spans="1:40" ht="16.5" customHeight="1" x14ac:dyDescent="0.25">
      <c r="A95" s="196" t="b">
        <f t="shared" si="28"/>
        <v>1</v>
      </c>
      <c r="C95" s="320" t="str">
        <f>C78</f>
        <v>Alphonse</v>
      </c>
      <c r="D95" s="321">
        <f>-Q28</f>
        <v>547.85714285714289</v>
      </c>
      <c r="E95" s="228">
        <f>Q42</f>
        <v>352.14285714285711</v>
      </c>
      <c r="F95" s="322">
        <f>E95/E96</f>
        <v>0.52324347272341321</v>
      </c>
      <c r="G95" s="226">
        <f>Q66</f>
        <v>35.281218165226441</v>
      </c>
      <c r="H95" s="226">
        <f t="shared" si="29"/>
        <v>441.01522706533103</v>
      </c>
      <c r="I95" s="276">
        <f>H95/H96</f>
        <v>0.54389782000857467</v>
      </c>
      <c r="J95" s="228">
        <f>$F95*J$96</f>
        <v>148.33952451708765</v>
      </c>
      <c r="K95" s="225">
        <f>$I95*K$96</f>
        <v>154.19503197243091</v>
      </c>
      <c r="L95" s="226">
        <f>K95+J95</f>
        <v>302.53455648951854</v>
      </c>
      <c r="M95" s="228">
        <f t="shared" si="30"/>
        <v>203.80333262576946</v>
      </c>
      <c r="N95" s="225">
        <f t="shared" si="31"/>
        <v>441.01522706533103</v>
      </c>
      <c r="O95" s="228">
        <f t="shared" si="32"/>
        <v>644.81855969110052</v>
      </c>
      <c r="P95" s="323">
        <f t="shared" si="33"/>
        <v>850.39169934666143</v>
      </c>
      <c r="Q95" s="324">
        <f>P95/12</f>
        <v>70.865974945555124</v>
      </c>
    </row>
    <row r="96" spans="1:40" ht="16.5" customHeight="1" x14ac:dyDescent="0.25">
      <c r="A96" s="196" t="b">
        <f t="shared" si="28"/>
        <v>1</v>
      </c>
      <c r="C96" s="334" t="s">
        <v>4</v>
      </c>
      <c r="D96" s="335">
        <f>SUM(D91:D95)</f>
        <v>1007</v>
      </c>
      <c r="E96" s="336">
        <f>SUM(E91:E95)</f>
        <v>673</v>
      </c>
      <c r="F96" s="337">
        <f>E96/E96</f>
        <v>1</v>
      </c>
      <c r="G96" s="338">
        <f>SUM(G91:G95)</f>
        <v>64.867364544079663</v>
      </c>
      <c r="H96" s="338">
        <f t="shared" si="29"/>
        <v>810.84205680099672</v>
      </c>
      <c r="I96" s="339">
        <f>H96/H96</f>
        <v>1</v>
      </c>
      <c r="J96" s="336">
        <f>J98*L96</f>
        <v>283.5</v>
      </c>
      <c r="K96" s="340">
        <f>K98*$L$96</f>
        <v>283.5</v>
      </c>
      <c r="L96" s="338">
        <f>Q32</f>
        <v>567</v>
      </c>
      <c r="M96" s="336">
        <f t="shared" si="30"/>
        <v>389.5</v>
      </c>
      <c r="N96" s="340">
        <f t="shared" si="31"/>
        <v>810.84205680099672</v>
      </c>
      <c r="O96" s="336">
        <f t="shared" si="32"/>
        <v>1200.3420568009967</v>
      </c>
      <c r="P96" s="336">
        <f t="shared" si="33"/>
        <v>1574</v>
      </c>
      <c r="Q96" s="340">
        <f>P96/12</f>
        <v>131.16666666666666</v>
      </c>
    </row>
    <row r="97" spans="3:17" ht="16.5" customHeight="1" x14ac:dyDescent="0.25">
      <c r="C97" s="196" t="s">
        <v>156</v>
      </c>
      <c r="J97" s="196"/>
      <c r="K97" s="196"/>
      <c r="P97" s="196"/>
      <c r="Q97" s="196"/>
    </row>
    <row r="98" spans="3:17" ht="16.5" hidden="1" customHeight="1" outlineLevel="1" x14ac:dyDescent="0.25">
      <c r="D98" s="196"/>
      <c r="E98" s="196"/>
      <c r="F98" s="196"/>
      <c r="G98" s="196"/>
      <c r="H98" s="196"/>
      <c r="I98" s="196"/>
      <c r="J98" s="341">
        <v>0.5</v>
      </c>
      <c r="K98" s="342">
        <f>1-J98</f>
        <v>0.5</v>
      </c>
      <c r="L98" s="196"/>
      <c r="M98" s="196"/>
      <c r="N98" s="196"/>
      <c r="O98" s="196"/>
      <c r="P98" s="196"/>
      <c r="Q98" s="196"/>
    </row>
    <row r="99" spans="3:17" ht="16.5" hidden="1" customHeight="1" outlineLevel="1" x14ac:dyDescent="0.25">
      <c r="D99" s="196"/>
      <c r="E99" s="196"/>
      <c r="F99" s="196"/>
      <c r="G99" s="196"/>
      <c r="H99" s="196"/>
      <c r="I99" s="196"/>
      <c r="J99" s="196"/>
      <c r="K99" s="196"/>
      <c r="L99" s="196"/>
      <c r="M99" s="196"/>
      <c r="N99" s="196"/>
      <c r="O99" s="196"/>
      <c r="P99" s="196"/>
      <c r="Q99" s="196"/>
    </row>
    <row r="100" spans="3:17" ht="16.5" customHeight="1" collapsed="1" x14ac:dyDescent="0.25">
      <c r="D100" s="196"/>
      <c r="E100" s="196"/>
      <c r="F100" s="196"/>
      <c r="G100" s="196"/>
      <c r="H100" s="196"/>
      <c r="I100" s="196"/>
      <c r="J100" s="196"/>
      <c r="K100" s="196"/>
      <c r="L100" s="196"/>
      <c r="M100" s="196"/>
      <c r="N100" s="196"/>
      <c r="O100" s="196"/>
      <c r="P100" s="196"/>
      <c r="Q100" s="196"/>
    </row>
  </sheetData>
  <mergeCells count="6">
    <mergeCell ref="T19:T20"/>
    <mergeCell ref="P84:Q86"/>
    <mergeCell ref="D84:D86"/>
    <mergeCell ref="C84:C87"/>
    <mergeCell ref="Y19:Y20"/>
    <mergeCell ref="U19:U20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B812B052-9179-498A-BA66-ADC236B12631}">
          <x14:formula1>
            <xm:f>Assumptions!$G$4:$G$10</xm:f>
          </x14:formula1>
          <xm:sqref>U24:U28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31"/>
  <sheetViews>
    <sheetView showGridLines="0" zoomScaleNormal="100" workbookViewId="0"/>
  </sheetViews>
  <sheetFormatPr defaultColWidth="11.5703125" defaultRowHeight="16.5" x14ac:dyDescent="0.25"/>
  <cols>
    <col min="1" max="1" width="6" style="2" customWidth="1"/>
    <col min="2" max="3" width="11.5703125" style="2"/>
    <col min="4" max="4" width="15.85546875" style="2" customWidth="1" collapsed="1"/>
    <col min="5" max="6" width="11.5703125" style="2"/>
    <col min="7" max="13" width="13.42578125" style="2" customWidth="1"/>
    <col min="14" max="16384" width="11.5703125" style="2"/>
  </cols>
  <sheetData>
    <row r="1" spans="1:12" ht="21" x14ac:dyDescent="0.25">
      <c r="A1" s="1" t="s">
        <v>157</v>
      </c>
    </row>
    <row r="3" spans="1:12" x14ac:dyDescent="0.3">
      <c r="B3" s="106" t="s">
        <v>38</v>
      </c>
      <c r="C3" s="114"/>
      <c r="D3" s="127" t="s">
        <v>42</v>
      </c>
      <c r="E3" s="108"/>
      <c r="F3" s="114"/>
      <c r="G3" s="49" t="s">
        <v>19</v>
      </c>
      <c r="H3" s="49" t="s">
        <v>20</v>
      </c>
      <c r="I3" s="49" t="s">
        <v>32</v>
      </c>
      <c r="J3" s="49" t="s">
        <v>33</v>
      </c>
      <c r="K3" s="49" t="s">
        <v>34</v>
      </c>
      <c r="L3" s="49" t="s">
        <v>35</v>
      </c>
    </row>
    <row r="4" spans="1:12" x14ac:dyDescent="0.3">
      <c r="B4" s="106" t="s">
        <v>39</v>
      </c>
      <c r="C4" s="114"/>
      <c r="D4" s="43">
        <v>44896</v>
      </c>
      <c r="E4" s="108" t="s">
        <v>59</v>
      </c>
      <c r="F4" s="114"/>
      <c r="G4" s="46" t="s">
        <v>18</v>
      </c>
      <c r="H4" s="46" t="s">
        <v>18</v>
      </c>
      <c r="I4" s="47">
        <v>1</v>
      </c>
      <c r="J4" s="47"/>
      <c r="K4" s="47">
        <v>-1</v>
      </c>
      <c r="L4" s="45">
        <f>SUM(I4:K4)</f>
        <v>0</v>
      </c>
    </row>
    <row r="5" spans="1:12" x14ac:dyDescent="0.3">
      <c r="B5" s="106" t="s">
        <v>75</v>
      </c>
      <c r="C5" s="114"/>
      <c r="D5" s="107">
        <v>10</v>
      </c>
      <c r="E5" s="108" t="s">
        <v>60</v>
      </c>
      <c r="F5" s="114"/>
      <c r="G5" s="46" t="s">
        <v>15</v>
      </c>
      <c r="H5" s="46" t="s">
        <v>26</v>
      </c>
      <c r="I5" s="47">
        <v>0.75</v>
      </c>
      <c r="J5" s="47">
        <v>0.25</v>
      </c>
      <c r="K5" s="47">
        <f>1-contract_type[[#This Row],[Flex, %]]-contract_type[[#This Row],[Cash, %]]</f>
        <v>0</v>
      </c>
      <c r="L5" s="45">
        <f t="shared" ref="L5:L10" si="0">SUM(I5:K5)</f>
        <v>1</v>
      </c>
    </row>
    <row r="6" spans="1:12" x14ac:dyDescent="0.3">
      <c r="B6" s="106" t="s">
        <v>40</v>
      </c>
      <c r="C6" s="114"/>
      <c r="D6" s="109">
        <v>0.25</v>
      </c>
      <c r="E6" s="108" t="s">
        <v>61</v>
      </c>
      <c r="F6" s="114"/>
      <c r="G6" s="46" t="s">
        <v>48</v>
      </c>
      <c r="H6" s="46" t="s">
        <v>26</v>
      </c>
      <c r="I6" s="47">
        <v>1</v>
      </c>
      <c r="J6" s="47"/>
      <c r="K6" s="47">
        <f>1-contract_type[[#This Row],[Flex, %]]-contract_type[[#This Row],[Cash, %]]</f>
        <v>0</v>
      </c>
      <c r="L6" s="45">
        <f>SUM(I6:K6)</f>
        <v>1</v>
      </c>
    </row>
    <row r="7" spans="1:12" x14ac:dyDescent="0.3">
      <c r="B7" s="106" t="s">
        <v>41</v>
      </c>
      <c r="C7" s="114"/>
      <c r="D7" s="110">
        <v>45291</v>
      </c>
      <c r="E7" s="108" t="s">
        <v>62</v>
      </c>
      <c r="F7" s="114"/>
      <c r="G7" s="46" t="s">
        <v>13</v>
      </c>
      <c r="H7" s="46" t="s">
        <v>26</v>
      </c>
      <c r="I7" s="47">
        <v>1</v>
      </c>
      <c r="J7" s="47"/>
      <c r="K7" s="47">
        <f>1-contract_type[[#This Row],[Flex, %]]-contract_type[[#This Row],[Cash, %]]</f>
        <v>0</v>
      </c>
      <c r="L7" s="45">
        <f t="shared" si="0"/>
        <v>1</v>
      </c>
    </row>
    <row r="8" spans="1:12" x14ac:dyDescent="0.3">
      <c r="B8" s="106" t="s">
        <v>77</v>
      </c>
      <c r="C8" s="114"/>
      <c r="D8" s="111">
        <f>(1+token_inflation)^((D7-project_start)/365.25)*token_initial_index</f>
        <v>12.729268182632868</v>
      </c>
      <c r="E8" s="108" t="s">
        <v>76</v>
      </c>
      <c r="F8" s="114"/>
      <c r="G8" s="46" t="s">
        <v>47</v>
      </c>
      <c r="H8" s="46" t="s">
        <v>26</v>
      </c>
      <c r="I8" s="47">
        <v>1</v>
      </c>
      <c r="J8" s="47"/>
      <c r="K8" s="47">
        <f>1-contract_type[[#This Row],[Flex, %]]-contract_type[[#This Row],[Cash, %]]</f>
        <v>0</v>
      </c>
      <c r="L8" s="45">
        <f t="shared" si="0"/>
        <v>1</v>
      </c>
    </row>
    <row r="9" spans="1:12" x14ac:dyDescent="0.3">
      <c r="B9" s="112" t="s">
        <v>49</v>
      </c>
      <c r="C9" s="114"/>
      <c r="D9" s="113">
        <v>100</v>
      </c>
      <c r="E9" s="108" t="s">
        <v>63</v>
      </c>
      <c r="F9" s="114"/>
      <c r="G9" s="46" t="s">
        <v>80</v>
      </c>
      <c r="H9" s="46" t="s">
        <v>80</v>
      </c>
      <c r="I9" s="47">
        <v>1</v>
      </c>
      <c r="J9" s="47"/>
      <c r="K9" s="47">
        <f>1-contract_type[[#This Row],[Flex, %]]-contract_type[[#This Row],[Cash, %]]</f>
        <v>0</v>
      </c>
      <c r="L9" s="45">
        <f>SUM(I9:K9)</f>
        <v>1</v>
      </c>
    </row>
    <row r="10" spans="1:12" x14ac:dyDescent="0.3">
      <c r="B10" s="114" t="s">
        <v>111</v>
      </c>
      <c r="C10" s="114"/>
      <c r="D10" s="121">
        <v>0.5</v>
      </c>
      <c r="E10" s="108" t="s">
        <v>114</v>
      </c>
      <c r="F10" s="114"/>
      <c r="G10" s="46" t="s">
        <v>43</v>
      </c>
      <c r="H10" s="46" t="s">
        <v>26</v>
      </c>
      <c r="I10" s="48">
        <f>1/3</f>
        <v>0.33333333333333331</v>
      </c>
      <c r="J10" s="47">
        <v>0.33333333333333331</v>
      </c>
      <c r="K10" s="47">
        <f>1-contract_type[[#This Row],[Flex, %]]-contract_type[[#This Row],[Cash, %]]</f>
        <v>0.33333333333333343</v>
      </c>
      <c r="L10" s="45">
        <f t="shared" si="0"/>
        <v>1</v>
      </c>
    </row>
    <row r="11" spans="1:12" x14ac:dyDescent="0.3">
      <c r="B11" s="114" t="s">
        <v>16</v>
      </c>
      <c r="C11" s="114"/>
      <c r="D11" s="120">
        <v>0.5</v>
      </c>
      <c r="E11" s="108"/>
      <c r="F11" s="114"/>
    </row>
    <row r="12" spans="1:12" x14ac:dyDescent="0.3">
      <c r="B12" s="171" t="s">
        <v>135</v>
      </c>
      <c r="C12" s="114"/>
      <c r="D12" s="188">
        <v>100</v>
      </c>
      <c r="E12" s="108" t="s">
        <v>87</v>
      </c>
    </row>
    <row r="13" spans="1:12" x14ac:dyDescent="0.3">
      <c r="B13" s="171" t="s">
        <v>136</v>
      </c>
      <c r="C13" s="114"/>
      <c r="D13" s="188">
        <v>10</v>
      </c>
      <c r="E13" s="108" t="s">
        <v>86</v>
      </c>
    </row>
    <row r="14" spans="1:12" x14ac:dyDescent="0.3">
      <c r="B14" s="171" t="s">
        <v>134</v>
      </c>
      <c r="C14" s="114"/>
      <c r="D14" s="121">
        <v>0.1</v>
      </c>
      <c r="E14" s="108" t="s">
        <v>85</v>
      </c>
      <c r="F14" s="114"/>
    </row>
    <row r="15" spans="1:12" x14ac:dyDescent="0.25">
      <c r="E15" s="108"/>
    </row>
    <row r="16" spans="1:12" x14ac:dyDescent="0.25">
      <c r="E16" s="108"/>
    </row>
    <row r="17" spans="1:1" x14ac:dyDescent="0.3">
      <c r="A17" s="114"/>
    </row>
    <row r="18" spans="1:1" x14ac:dyDescent="0.3">
      <c r="A18" s="114"/>
    </row>
    <row r="19" spans="1:1" x14ac:dyDescent="0.3">
      <c r="A19" s="114"/>
    </row>
    <row r="20" spans="1:1" x14ac:dyDescent="0.3">
      <c r="A20" s="114"/>
    </row>
    <row r="21" spans="1:1" x14ac:dyDescent="0.3">
      <c r="A21" s="114"/>
    </row>
    <row r="22" spans="1:1" x14ac:dyDescent="0.3">
      <c r="A22" s="114"/>
    </row>
    <row r="23" spans="1:1" x14ac:dyDescent="0.3">
      <c r="A23" s="114"/>
    </row>
    <row r="24" spans="1:1" x14ac:dyDescent="0.3">
      <c r="A24" s="114"/>
    </row>
    <row r="25" spans="1:1" x14ac:dyDescent="0.3">
      <c r="A25" s="114"/>
    </row>
    <row r="26" spans="1:1" x14ac:dyDescent="0.3">
      <c r="A26" s="114"/>
    </row>
    <row r="27" spans="1:1" x14ac:dyDescent="0.3">
      <c r="A27" s="114"/>
    </row>
    <row r="28" spans="1:1" x14ac:dyDescent="0.25">
      <c r="A28"/>
    </row>
    <row r="29" spans="1:1" x14ac:dyDescent="0.25">
      <c r="A29"/>
    </row>
    <row r="30" spans="1:1" x14ac:dyDescent="0.25">
      <c r="A30"/>
    </row>
    <row r="31" spans="1:1" x14ac:dyDescent="0.25">
      <c r="A31"/>
    </row>
  </sheetData>
  <pageMargins left="0.7" right="0.7" top="0.75" bottom="0.75" header="0.3" footer="0.3"/>
  <pageSetup paperSize="9" orientation="portrait" r:id="rId1"/>
  <tableParts count="1">
    <tablePart r:id="rId2"/>
  </tableParts>
  <extLst>
    <ext xmlns:x15="http://schemas.microsoft.com/office/spreadsheetml/2010/11/main" uri="{F7C9EE02-42E1-4005-9D12-6889AFFD525C}">
      <x15:webExtensions xmlns:xm="http://schemas.microsoft.com/office/excel/2006/main">
        <x15:webExtension appRef="{39CC403C-A030-4129-8F25-296ADF88D22C}">
          <xm:f>#REF!</xm:f>
        </x15:webExtension>
      </x15:webExtens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A4A9D-CE9E-4AD1-A539-537B9CADF8D1}">
  <sheetPr codeName="Sheet2"/>
  <dimension ref="A1:AA74"/>
  <sheetViews>
    <sheetView showGridLines="0" zoomScale="85" zoomScaleNormal="85" workbookViewId="0">
      <pane xSplit="5" ySplit="7" topLeftCell="S8" activePane="bottomRight" state="frozen"/>
      <selection pane="topRight" activeCell="G1" sqref="G1"/>
      <selection pane="bottomLeft" activeCell="A7" sqref="A7"/>
      <selection pane="bottomRight"/>
    </sheetView>
  </sheetViews>
  <sheetFormatPr defaultColWidth="11.28515625" defaultRowHeight="15" outlineLevelRow="1" outlineLevelCol="1" x14ac:dyDescent="0.25"/>
  <cols>
    <col min="1" max="2" width="14.42578125" style="39" customWidth="1"/>
    <col min="4" max="4" width="15.42578125" style="36" customWidth="1"/>
    <col min="5" max="5" width="11.7109375" style="158" bestFit="1" customWidth="1"/>
    <col min="6" max="6" width="15.7109375" style="36" customWidth="1" outlineLevel="1"/>
    <col min="7" max="11" width="11.28515625" style="35" customWidth="1" outlineLevel="1"/>
    <col min="12" max="12" width="11.28515625" customWidth="1" outlineLevel="1" collapsed="1"/>
    <col min="13" max="13" width="12.85546875" style="51" customWidth="1"/>
    <col min="14" max="15" width="11.28515625" style="51" customWidth="1"/>
    <col min="16" max="17" width="11.28515625" style="35" customWidth="1"/>
    <col min="18" max="18" width="11.28515625" customWidth="1" collapsed="1"/>
    <col min="19" max="20" width="11.28515625" style="34"/>
    <col min="21" max="22" width="11.28515625" style="35"/>
    <col min="23" max="26" width="11.28515625" style="37"/>
  </cols>
  <sheetData>
    <row r="1" spans="1:27" ht="21" x14ac:dyDescent="0.25">
      <c r="A1" s="1" t="s">
        <v>64</v>
      </c>
      <c r="B1" s="33"/>
    </row>
    <row r="2" spans="1:27" outlineLevel="1" x14ac:dyDescent="0.25">
      <c r="H2" s="123" t="s">
        <v>91</v>
      </c>
      <c r="I2" s="123" t="s">
        <v>90</v>
      </c>
      <c r="L2" s="75"/>
    </row>
    <row r="3" spans="1:27" outlineLevel="1" x14ac:dyDescent="0.25">
      <c r="E3" s="40"/>
      <c r="G3" s="42"/>
      <c r="H3" s="42">
        <v>0.2</v>
      </c>
      <c r="I3" s="42">
        <v>0.8</v>
      </c>
      <c r="L3" s="75"/>
    </row>
    <row r="4" spans="1:27" x14ac:dyDescent="0.25">
      <c r="E4" s="40">
        <f>SUBTOTAL(9,E10:E133)</f>
        <v>588</v>
      </c>
      <c r="L4" s="75"/>
      <c r="S4" s="37">
        <f>SUBTOTAL(9,S10:S133)</f>
        <v>1334</v>
      </c>
      <c r="T4" s="37">
        <f>SUBTOTAL(9,T10:T133)</f>
        <v>-1346</v>
      </c>
      <c r="U4" s="37">
        <f>SUBTOTAL(9,U10:U133)</f>
        <v>-12</v>
      </c>
      <c r="V4" s="51">
        <f ca="1">SUBTOTAL(9,V10:V133)</f>
        <v>3759</v>
      </c>
      <c r="W4" s="37">
        <f>SUBTOTAL(9,W10:W133)</f>
        <v>696.13323253579972</v>
      </c>
    </row>
    <row r="5" spans="1:27" x14ac:dyDescent="0.25">
      <c r="F5" s="62" t="s">
        <v>46</v>
      </c>
      <c r="G5" s="62"/>
      <c r="H5" s="62"/>
      <c r="I5" s="62"/>
      <c r="J5" s="62"/>
      <c r="K5" s="62"/>
      <c r="L5" s="62"/>
      <c r="M5" s="64" t="s">
        <v>45</v>
      </c>
      <c r="N5" s="65"/>
      <c r="O5" s="65"/>
      <c r="P5" s="65"/>
      <c r="Q5" s="65"/>
      <c r="R5" s="65"/>
      <c r="S5" s="62" t="s">
        <v>58</v>
      </c>
      <c r="T5" s="62"/>
      <c r="U5" s="62"/>
      <c r="V5" s="62"/>
      <c r="W5" s="64" t="s">
        <v>6</v>
      </c>
      <c r="X5" s="65"/>
      <c r="Y5" s="65"/>
      <c r="Z5" s="64"/>
      <c r="AA5" s="99"/>
    </row>
    <row r="6" spans="1:27" s="100" customFormat="1" ht="45" x14ac:dyDescent="0.25">
      <c r="A6" s="58" t="s">
        <v>27</v>
      </c>
      <c r="B6" s="58" t="s">
        <v>28</v>
      </c>
      <c r="C6" s="59" t="s">
        <v>21</v>
      </c>
      <c r="D6" s="60" t="s">
        <v>19</v>
      </c>
      <c r="E6" s="159" t="s">
        <v>31</v>
      </c>
      <c r="F6" s="60" t="s">
        <v>20</v>
      </c>
      <c r="G6" s="59" t="s">
        <v>32</v>
      </c>
      <c r="H6" s="59" t="s">
        <v>33</v>
      </c>
      <c r="I6" s="59" t="s">
        <v>34</v>
      </c>
      <c r="J6" s="72" t="s">
        <v>35</v>
      </c>
      <c r="K6" s="59" t="s">
        <v>88</v>
      </c>
      <c r="L6" s="59" t="s">
        <v>23</v>
      </c>
      <c r="M6" s="66" t="s">
        <v>51</v>
      </c>
      <c r="N6" s="67" t="s">
        <v>44</v>
      </c>
      <c r="O6" s="67" t="s">
        <v>55</v>
      </c>
      <c r="P6" s="59" t="s">
        <v>54</v>
      </c>
      <c r="Q6" s="59" t="s">
        <v>53</v>
      </c>
      <c r="R6" s="70" t="s">
        <v>52</v>
      </c>
      <c r="S6" s="59" t="s">
        <v>29</v>
      </c>
      <c r="T6" s="59" t="s">
        <v>30</v>
      </c>
      <c r="U6" s="59" t="s">
        <v>36</v>
      </c>
      <c r="V6" s="59" t="s">
        <v>50</v>
      </c>
      <c r="W6" s="101" t="s">
        <v>24</v>
      </c>
      <c r="X6" s="61" t="s">
        <v>37</v>
      </c>
      <c r="Y6" s="61" t="s">
        <v>56</v>
      </c>
      <c r="Z6" s="61" t="s">
        <v>57</v>
      </c>
    </row>
    <row r="7" spans="1:27" x14ac:dyDescent="0.25">
      <c r="A7" s="52"/>
      <c r="B7" s="52"/>
      <c r="C7" s="53"/>
      <c r="D7" s="54"/>
      <c r="E7" s="160"/>
      <c r="F7" s="54"/>
      <c r="G7" s="55"/>
      <c r="H7" s="55"/>
      <c r="I7" s="55"/>
      <c r="J7" s="73"/>
      <c r="K7" s="55"/>
      <c r="L7" s="53"/>
      <c r="M7" s="68"/>
      <c r="N7" s="69"/>
      <c r="O7" s="69"/>
      <c r="P7" s="55"/>
      <c r="Q7" s="55"/>
      <c r="R7" s="71"/>
      <c r="S7" s="56"/>
      <c r="T7" s="56"/>
      <c r="U7" s="55"/>
      <c r="V7" s="55"/>
      <c r="W7" s="102"/>
      <c r="X7" s="57"/>
      <c r="Y7" s="57"/>
      <c r="Z7" s="57"/>
    </row>
    <row r="8" spans="1:27" x14ac:dyDescent="0.25">
      <c r="E8" s="40"/>
      <c r="L8" s="35"/>
      <c r="M8" s="35"/>
      <c r="N8" s="35"/>
      <c r="O8" s="35"/>
      <c r="R8" s="35"/>
      <c r="S8" s="35"/>
      <c r="T8" s="35"/>
      <c r="W8" s="103"/>
    </row>
    <row r="9" spans="1:27" outlineLevel="1" x14ac:dyDescent="0.25">
      <c r="E9" s="40"/>
      <c r="M9" s="63"/>
      <c r="N9" s="88"/>
      <c r="O9" s="51">
        <f t="shared" ref="O9:O14" si="0">MAX(M9-N9,0)</f>
        <v>0</v>
      </c>
      <c r="P9" s="156">
        <f>P14</f>
        <v>0</v>
      </c>
      <c r="Q9" s="35">
        <f t="shared" ref="Q9:Q14" si="1">1-P9</f>
        <v>1</v>
      </c>
      <c r="R9" s="97">
        <f t="shared" ref="R9:R12" si="2">IF(H9=0,0,Q9*H9*E9)</f>
        <v>0</v>
      </c>
      <c r="W9" s="103"/>
    </row>
    <row r="10" spans="1:27" outlineLevel="1" x14ac:dyDescent="0.25">
      <c r="A10" s="44">
        <v>44896</v>
      </c>
      <c r="B10" s="76">
        <f t="shared" ref="B10:B12" si="3">A10</f>
        <v>44896</v>
      </c>
      <c r="C10" s="41" t="s">
        <v>110</v>
      </c>
      <c r="D10" s="50" t="s">
        <v>18</v>
      </c>
      <c r="E10" s="161">
        <v>300</v>
      </c>
      <c r="F10" s="36" t="str">
        <f>_xlfn.XLOOKUP($D10,contract_type[Type],contract_type[Nature])</f>
        <v>Funding</v>
      </c>
      <c r="G10" s="36">
        <f>_xlfn.XLOOKUP($D10,contract_type[Type],contract_type[Cash, %])</f>
        <v>1</v>
      </c>
      <c r="H10" s="36">
        <f>_xlfn.XLOOKUP($D10,contract_type[Type],contract_type[Flex, %])</f>
        <v>0</v>
      </c>
      <c r="I10" s="36">
        <f>_xlfn.XLOOKUP($D10,contract_type[Type],contract_type[Credit, %])</f>
        <v>-1</v>
      </c>
      <c r="J10" s="74">
        <f>SUM(G10:I10)</f>
        <v>0</v>
      </c>
      <c r="K10" s="35">
        <f>IFERROR(AVERAGE($P$8:P10),0)</f>
        <v>0</v>
      </c>
      <c r="L10" s="38">
        <f t="shared" ref="L10" si="4">ABS(H10)*($H$3+($I$3-$H$3)*(1-K10))+ABS(I10)*$I$3</f>
        <v>0.8</v>
      </c>
      <c r="M10" s="63"/>
      <c r="N10" s="88"/>
      <c r="O10" s="51">
        <f t="shared" si="0"/>
        <v>0</v>
      </c>
      <c r="P10" s="156">
        <f t="shared" ref="P10" si="5">P14</f>
        <v>0</v>
      </c>
      <c r="Q10" s="35">
        <f t="shared" si="1"/>
        <v>1</v>
      </c>
      <c r="R10" s="97">
        <f t="shared" si="2"/>
        <v>0</v>
      </c>
      <c r="S10" s="34">
        <f>$E10*(G10+IFERROR(H10*P10,0))</f>
        <v>300</v>
      </c>
      <c r="T10" s="34">
        <f t="shared" ref="T10" si="6">U10-S10</f>
        <v>-300</v>
      </c>
      <c r="U10" s="34">
        <f t="shared" ref="U10" si="7">$E10*J10</f>
        <v>0</v>
      </c>
      <c r="V10" s="40">
        <f t="shared" ref="V10" ca="1" si="8">S10+OFFSET(V10,-1,0)</f>
        <v>300</v>
      </c>
      <c r="W10" s="103">
        <f>ABS(L10*E10)</f>
        <v>240</v>
      </c>
      <c r="X10" s="37">
        <f t="shared" ref="X10" si="9">IFERROR(token_initial_index*(1+token_inflation)^((A10-project_start)/365.25),0)</f>
        <v>10</v>
      </c>
      <c r="Y10" s="37">
        <f>W10/X10</f>
        <v>24</v>
      </c>
      <c r="Z10" s="37">
        <f>-T10</f>
        <v>300</v>
      </c>
    </row>
    <row r="11" spans="1:27" outlineLevel="1" x14ac:dyDescent="0.25">
      <c r="A11" s="76">
        <f t="shared" ref="A11:A13" si="10">$A$10</f>
        <v>44896</v>
      </c>
      <c r="B11" s="76">
        <f t="shared" si="3"/>
        <v>44896</v>
      </c>
      <c r="C11" s="41" t="s">
        <v>71</v>
      </c>
      <c r="D11" s="50" t="s">
        <v>48</v>
      </c>
      <c r="E11" s="161">
        <v>-250</v>
      </c>
      <c r="F11" s="36" t="str">
        <f>_xlfn.XLOOKUP($D11,contract_type[Type],contract_type[Nature])</f>
        <v>Commercial</v>
      </c>
      <c r="G11" s="36">
        <f>_xlfn.XLOOKUP($D11,contract_type[Type],contract_type[Cash, %])</f>
        <v>1</v>
      </c>
      <c r="H11" s="36">
        <f>_xlfn.XLOOKUP($D11,contract_type[Type],contract_type[Flex, %])</f>
        <v>0</v>
      </c>
      <c r="I11" s="36">
        <f>_xlfn.XLOOKUP($D11,contract_type[Type],contract_type[Credit, %])</f>
        <v>0</v>
      </c>
      <c r="J11" s="74">
        <f t="shared" ref="J11:J14" si="11">SUM(G11:I11)</f>
        <v>1</v>
      </c>
      <c r="K11" s="35">
        <f>IFERROR(AVERAGE($P$8:P11),0)</f>
        <v>0</v>
      </c>
      <c r="L11" s="38">
        <f t="shared" ref="L11:L12" si="12">ABS(H11)*($H$3+($I$3-$H$3)*(1-K11))+ABS(I11)*$I$3</f>
        <v>0</v>
      </c>
      <c r="M11" s="63"/>
      <c r="N11" s="88"/>
      <c r="O11" s="51">
        <f t="shared" si="0"/>
        <v>0</v>
      </c>
      <c r="P11" s="156">
        <f t="shared" ref="P11" si="13">P14</f>
        <v>0</v>
      </c>
      <c r="Q11" s="35">
        <f t="shared" si="1"/>
        <v>1</v>
      </c>
      <c r="R11" s="97">
        <f t="shared" si="2"/>
        <v>0</v>
      </c>
      <c r="S11" s="34">
        <f t="shared" ref="S11:S12" si="14">$E11*(G11+IFERROR(H11*P11,0))</f>
        <v>-250</v>
      </c>
      <c r="T11" s="34">
        <f t="shared" ref="T11:T12" si="15">U11-S11</f>
        <v>0</v>
      </c>
      <c r="U11" s="34">
        <f t="shared" ref="U11:U12" si="16">$E11*J11</f>
        <v>-250</v>
      </c>
      <c r="V11" s="40">
        <f t="shared" ref="V11:V12" ca="1" si="17">S11+OFFSET(V11,-1,0)</f>
        <v>50</v>
      </c>
      <c r="W11" s="103">
        <f t="shared" ref="W11:W24" si="18">ABS(L11*E11)</f>
        <v>0</v>
      </c>
      <c r="X11" s="37">
        <f t="shared" ref="X11:X24" si="19">IFERROR(token_initial_index*(1+token_inflation)^((A11-project_start)/365.25),0)</f>
        <v>10</v>
      </c>
      <c r="Y11" s="37">
        <f t="shared" ref="Y11:Y24" si="20">W11/X11</f>
        <v>0</v>
      </c>
      <c r="Z11" s="37">
        <f t="shared" ref="Z11:Z24" si="21">-T11</f>
        <v>0</v>
      </c>
    </row>
    <row r="12" spans="1:27" outlineLevel="1" x14ac:dyDescent="0.25">
      <c r="A12" s="76">
        <f t="shared" si="10"/>
        <v>44896</v>
      </c>
      <c r="B12" s="76">
        <f t="shared" si="3"/>
        <v>44896</v>
      </c>
      <c r="C12" s="41" t="s">
        <v>71</v>
      </c>
      <c r="D12" s="50" t="s">
        <v>47</v>
      </c>
      <c r="E12" s="161">
        <v>-50</v>
      </c>
      <c r="F12" s="36" t="str">
        <f>_xlfn.XLOOKUP($D12,contract_type[Type],contract_type[Nature])</f>
        <v>Commercial</v>
      </c>
      <c r="G12" s="36">
        <f>_xlfn.XLOOKUP($D12,contract_type[Type],contract_type[Cash, %])</f>
        <v>1</v>
      </c>
      <c r="H12" s="36">
        <f>_xlfn.XLOOKUP($D12,contract_type[Type],contract_type[Flex, %])</f>
        <v>0</v>
      </c>
      <c r="I12" s="36">
        <f>_xlfn.XLOOKUP($D12,contract_type[Type],contract_type[Credit, %])</f>
        <v>0</v>
      </c>
      <c r="J12" s="74">
        <f t="shared" si="11"/>
        <v>1</v>
      </c>
      <c r="K12" s="35">
        <f>IFERROR(AVERAGE($P$8:P12),0)</f>
        <v>0</v>
      </c>
      <c r="L12" s="38">
        <f t="shared" si="12"/>
        <v>0</v>
      </c>
      <c r="M12" s="63"/>
      <c r="N12" s="88"/>
      <c r="O12" s="51">
        <f t="shared" si="0"/>
        <v>0</v>
      </c>
      <c r="P12" s="156">
        <f>P14</f>
        <v>0</v>
      </c>
      <c r="Q12" s="35">
        <f t="shared" si="1"/>
        <v>1</v>
      </c>
      <c r="R12" s="97">
        <f t="shared" si="2"/>
        <v>0</v>
      </c>
      <c r="S12" s="34">
        <f t="shared" si="14"/>
        <v>-50</v>
      </c>
      <c r="T12" s="34">
        <f t="shared" si="15"/>
        <v>0</v>
      </c>
      <c r="U12" s="34">
        <f t="shared" si="16"/>
        <v>-50</v>
      </c>
      <c r="V12" s="40">
        <f t="shared" ca="1" si="17"/>
        <v>0</v>
      </c>
      <c r="W12" s="103">
        <f t="shared" si="18"/>
        <v>0</v>
      </c>
      <c r="X12" s="37">
        <f t="shared" si="19"/>
        <v>10</v>
      </c>
      <c r="Y12" s="37">
        <f t="shared" si="20"/>
        <v>0</v>
      </c>
      <c r="Z12" s="37">
        <f t="shared" si="21"/>
        <v>0</v>
      </c>
    </row>
    <row r="13" spans="1:27" outlineLevel="1" x14ac:dyDescent="0.25">
      <c r="A13" s="77">
        <f t="shared" si="10"/>
        <v>44896</v>
      </c>
      <c r="B13" s="77">
        <f t="shared" ref="B13" si="22">A13</f>
        <v>44896</v>
      </c>
      <c r="C13" s="78" t="s">
        <v>3</v>
      </c>
      <c r="D13" s="79" t="s">
        <v>43</v>
      </c>
      <c r="E13" s="162"/>
      <c r="F13" s="80" t="str">
        <f>_xlfn.XLOOKUP($D13,contract_type[Type],contract_type[Nature])</f>
        <v>Commercial</v>
      </c>
      <c r="G13" s="80">
        <f>_xlfn.XLOOKUP($D13,contract_type[Type],contract_type[Cash, %])</f>
        <v>0.33333333333333331</v>
      </c>
      <c r="H13" s="80">
        <f>_xlfn.XLOOKUP($D13,contract_type[Type],contract_type[Flex, %])</f>
        <v>0.33333333333333331</v>
      </c>
      <c r="I13" s="80">
        <f>_xlfn.XLOOKUP($D13,contract_type[Type],contract_type[Credit, %])</f>
        <v>0.33333333333333343</v>
      </c>
      <c r="J13" s="81">
        <f t="shared" ref="J13" si="23">SUM(G13:I13)</f>
        <v>1</v>
      </c>
      <c r="K13" s="85">
        <f>IFERROR(AVERAGE($P$8:P13),0)</f>
        <v>0</v>
      </c>
      <c r="L13" s="82">
        <f t="shared" ref="L13" si="24">ABS(H13)*($H$3+($I$3-$H$3)*(1-K13))+ABS(I13)*$I$3</f>
        <v>0.53333333333333344</v>
      </c>
      <c r="M13" s="83"/>
      <c r="N13" s="89"/>
      <c r="O13" s="84">
        <f t="shared" ref="O13" si="25">MAX(M13-N13,0)</f>
        <v>0</v>
      </c>
      <c r="P13" s="157">
        <f>P15</f>
        <v>0</v>
      </c>
      <c r="Q13" s="85">
        <f t="shared" si="1"/>
        <v>1</v>
      </c>
      <c r="R13" s="98">
        <f t="shared" ref="R13" si="26">IF(H13=0,0,Q13*H13*E13)</f>
        <v>0</v>
      </c>
      <c r="S13" s="86">
        <f t="shared" ref="S13" si="27">$E13*(G13+IFERROR(H13*P13,0))</f>
        <v>0</v>
      </c>
      <c r="T13" s="86">
        <f t="shared" ref="T13" si="28">U13-S13</f>
        <v>0</v>
      </c>
      <c r="U13" s="86">
        <f t="shared" ref="U13" si="29">$E13*J13</f>
        <v>0</v>
      </c>
      <c r="V13" s="90">
        <f t="shared" ref="V13" ca="1" si="30">S13+OFFSET(V13,-1,0)</f>
        <v>0</v>
      </c>
      <c r="W13" s="104">
        <f t="shared" ref="W13" si="31">ABS(L13*E13)</f>
        <v>0</v>
      </c>
      <c r="X13" s="87">
        <f t="shared" ref="X13" si="32">IFERROR(token_initial_index*(1+token_inflation)^((A13-project_start)/365.25),0)</f>
        <v>10</v>
      </c>
      <c r="Y13" s="87">
        <f t="shared" ref="Y13" si="33">W13/X13</f>
        <v>0</v>
      </c>
      <c r="Z13" s="87">
        <f t="shared" ref="Z13" si="34">-T13</f>
        <v>0</v>
      </c>
    </row>
    <row r="14" spans="1:27" x14ac:dyDescent="0.25">
      <c r="A14" s="140">
        <f t="shared" ref="A14" si="35">A10</f>
        <v>44896</v>
      </c>
      <c r="B14" s="141">
        <f t="shared" ref="B14" si="36">EDATE(A14,1)-1</f>
        <v>44926</v>
      </c>
      <c r="C14" s="142"/>
      <c r="D14" s="142" t="s">
        <v>121</v>
      </c>
      <c r="E14" s="154">
        <f>SUM(E9:E13)</f>
        <v>0</v>
      </c>
      <c r="F14" s="143" t="s">
        <v>120</v>
      </c>
      <c r="G14" s="154">
        <f>SUMPRODUCT(E9:E12,G9:G12)</f>
        <v>0</v>
      </c>
      <c r="H14" s="154">
        <f>SUMPRODUCT(E9:E12,H9:H12)</f>
        <v>0</v>
      </c>
      <c r="I14" s="154">
        <f>SUMPRODUCT(E9:E12,I9:I12)</f>
        <v>-300</v>
      </c>
      <c r="J14" s="146">
        <f t="shared" si="11"/>
        <v>-300</v>
      </c>
      <c r="K14" s="144">
        <f>IFERROR(AVERAGE($P$8:P14),0)</f>
        <v>0</v>
      </c>
      <c r="L14" s="145"/>
      <c r="M14" s="146">
        <f t="shared" ref="M14" si="37">V8+G14</f>
        <v>0</v>
      </c>
      <c r="N14" s="147">
        <f t="shared" ref="N14:N74" si="38">MIN(base_reserve,M14)</f>
        <v>0</v>
      </c>
      <c r="O14" s="148">
        <f t="shared" si="0"/>
        <v>0</v>
      </c>
      <c r="P14" s="155">
        <f t="shared" ref="P14" si="39">IFERROR(MIN(MAX(O14/-H14,0),1),0)</f>
        <v>0</v>
      </c>
      <c r="Q14" s="144">
        <f t="shared" si="1"/>
        <v>1</v>
      </c>
      <c r="R14" s="149">
        <f t="shared" ref="R14" si="40">Q14*H14</f>
        <v>0</v>
      </c>
      <c r="S14" s="150">
        <f>SUM(S9:S12)</f>
        <v>0</v>
      </c>
      <c r="T14" s="150">
        <f>SUM(T9:T12)</f>
        <v>-300</v>
      </c>
      <c r="U14" s="150">
        <f>SUM(U9:U12)</f>
        <v>-300</v>
      </c>
      <c r="V14" s="151">
        <f>V8+S14</f>
        <v>0</v>
      </c>
      <c r="W14" s="152">
        <f t="shared" ref="W14" si="41">ABS(L14*E14)</f>
        <v>0</v>
      </c>
      <c r="X14" s="153">
        <f t="shared" ref="X14" si="42">IFERROR(token_initial_index*(1+token_inflation)^((A14-project_start)/365.25),0)</f>
        <v>10</v>
      </c>
      <c r="Y14" s="153">
        <f t="shared" ref="Y14" si="43">W14/X14</f>
        <v>0</v>
      </c>
      <c r="Z14" s="149">
        <f t="shared" ref="Z14" si="44">-T14</f>
        <v>300</v>
      </c>
    </row>
    <row r="15" spans="1:27" outlineLevel="1" x14ac:dyDescent="0.25">
      <c r="A15" s="91">
        <f>EDATE(A10,1)</f>
        <v>44927</v>
      </c>
      <c r="B15" s="39">
        <f>EDATE(A15,1)-1</f>
        <v>44957</v>
      </c>
      <c r="C15" s="41" t="s">
        <v>73</v>
      </c>
      <c r="D15" s="50" t="s">
        <v>13</v>
      </c>
      <c r="E15" s="187">
        <f>revenues_initial</f>
        <v>100</v>
      </c>
      <c r="F15" s="36" t="str">
        <f>_xlfn.XLOOKUP($D15,contract_type[Type],contract_type[Nature])</f>
        <v>Commercial</v>
      </c>
      <c r="G15" s="36">
        <f>_xlfn.XLOOKUP($D15,contract_type[Type],contract_type[Cash, %])</f>
        <v>1</v>
      </c>
      <c r="H15" s="36">
        <f>_xlfn.XLOOKUP($D15,contract_type[Type],contract_type[Flex, %])</f>
        <v>0</v>
      </c>
      <c r="I15" s="36">
        <f>_xlfn.XLOOKUP($D15,contract_type[Type],contract_type[Credit, %])</f>
        <v>0</v>
      </c>
      <c r="J15" s="74">
        <f t="shared" ref="J15:J24" si="45">SUM(G15:I15)</f>
        <v>1</v>
      </c>
      <c r="K15" s="167">
        <f t="shared" ref="K15" si="46">K19</f>
        <v>0</v>
      </c>
      <c r="L15" s="38">
        <f t="shared" ref="L15:L18" si="47">ABS(H15)*($H$3+($I$3-$H$3)*(1-K15))+ABS(I15)*$I$3</f>
        <v>0</v>
      </c>
      <c r="M15" s="63"/>
      <c r="N15" s="88"/>
      <c r="O15" s="51">
        <f t="shared" ref="O15:O24" si="48">MAX(M15-N15,0)</f>
        <v>0</v>
      </c>
      <c r="P15" s="156">
        <f t="shared" ref="P15:P70" si="49">P19</f>
        <v>0</v>
      </c>
      <c r="Q15" s="35">
        <f t="shared" ref="Q15:Q74" si="50">1-P15</f>
        <v>1</v>
      </c>
      <c r="R15" s="97">
        <f t="shared" ref="R15:R18" si="51">IF(H15=0,0,Q15*H15*E15)</f>
        <v>0</v>
      </c>
      <c r="S15" s="34">
        <f t="shared" ref="S15:S18" si="52">$E15*(G15+IFERROR(H15*P15,0))</f>
        <v>100</v>
      </c>
      <c r="T15" s="34">
        <f t="shared" ref="T15:T18" si="53">U15-S15</f>
        <v>0</v>
      </c>
      <c r="U15" s="34">
        <f t="shared" ref="U15:U18" si="54">$E15*J15</f>
        <v>100</v>
      </c>
      <c r="V15" s="40"/>
      <c r="W15" s="103">
        <f t="shared" si="18"/>
        <v>0</v>
      </c>
      <c r="X15" s="37">
        <f t="shared" si="19"/>
        <v>10.191194255797845</v>
      </c>
      <c r="Y15" s="37">
        <f t="shared" si="20"/>
        <v>0</v>
      </c>
      <c r="Z15" s="37">
        <f t="shared" si="21"/>
        <v>0</v>
      </c>
    </row>
    <row r="16" spans="1:27" outlineLevel="1" x14ac:dyDescent="0.25">
      <c r="A16" s="76">
        <f>A15</f>
        <v>44927</v>
      </c>
      <c r="B16" s="39">
        <f>EDATE(A16,1)-1</f>
        <v>44957</v>
      </c>
      <c r="C16" s="41" t="s">
        <v>72</v>
      </c>
      <c r="D16" s="50" t="s">
        <v>15</v>
      </c>
      <c r="E16" s="161">
        <v>-40</v>
      </c>
      <c r="F16" s="36" t="str">
        <f>_xlfn.XLOOKUP($D16,contract_type[Type],contract_type[Nature])</f>
        <v>Commercial</v>
      </c>
      <c r="G16" s="36">
        <f>_xlfn.XLOOKUP($D16,contract_type[Type],contract_type[Cash, %])</f>
        <v>0.75</v>
      </c>
      <c r="H16" s="36">
        <f>_xlfn.XLOOKUP($D16,contract_type[Type],contract_type[Flex, %])</f>
        <v>0.25</v>
      </c>
      <c r="I16" s="36">
        <f>_xlfn.XLOOKUP($D16,contract_type[Type],contract_type[Credit, %])</f>
        <v>0</v>
      </c>
      <c r="J16" s="74">
        <f t="shared" si="45"/>
        <v>1</v>
      </c>
      <c r="K16" s="167">
        <f t="shared" ref="K16" si="55">K19</f>
        <v>0</v>
      </c>
      <c r="L16" s="38">
        <f t="shared" si="47"/>
        <v>0.2</v>
      </c>
      <c r="M16" s="63"/>
      <c r="N16" s="88"/>
      <c r="O16" s="51">
        <f t="shared" si="48"/>
        <v>0</v>
      </c>
      <c r="P16" s="156">
        <f t="shared" ref="P16:P71" si="56">P19</f>
        <v>0</v>
      </c>
      <c r="Q16" s="35">
        <f t="shared" si="50"/>
        <v>1</v>
      </c>
      <c r="R16" s="97">
        <f t="shared" si="51"/>
        <v>-10</v>
      </c>
      <c r="S16" s="34">
        <f t="shared" si="52"/>
        <v>-30</v>
      </c>
      <c r="T16" s="34">
        <f t="shared" si="53"/>
        <v>-10</v>
      </c>
      <c r="U16" s="34">
        <f t="shared" si="54"/>
        <v>-40</v>
      </c>
      <c r="V16" s="40"/>
      <c r="W16" s="103">
        <f t="shared" si="18"/>
        <v>8</v>
      </c>
      <c r="X16" s="37">
        <f t="shared" si="19"/>
        <v>10.191194255797845</v>
      </c>
      <c r="Y16" s="37">
        <f t="shared" si="20"/>
        <v>0.7849914150590096</v>
      </c>
      <c r="Z16" s="37">
        <f t="shared" si="21"/>
        <v>10</v>
      </c>
    </row>
    <row r="17" spans="1:26" outlineLevel="1" x14ac:dyDescent="0.25">
      <c r="A17" s="76">
        <f>A15</f>
        <v>44927</v>
      </c>
      <c r="B17" s="39">
        <f t="shared" ref="B17:B18" si="57">EDATE(A17,1)-1</f>
        <v>44957</v>
      </c>
      <c r="C17" s="41" t="s">
        <v>71</v>
      </c>
      <c r="D17" s="50" t="s">
        <v>47</v>
      </c>
      <c r="E17" s="187">
        <f>E15*-groceries_pc</f>
        <v>-10</v>
      </c>
      <c r="F17" s="36" t="str">
        <f>_xlfn.XLOOKUP($D17,contract_type[Type],contract_type[Nature])</f>
        <v>Commercial</v>
      </c>
      <c r="G17" s="36">
        <f>_xlfn.XLOOKUP($D17,contract_type[Type],contract_type[Cash, %])</f>
        <v>1</v>
      </c>
      <c r="H17" s="36">
        <f>_xlfn.XLOOKUP($D17,contract_type[Type],contract_type[Flex, %])</f>
        <v>0</v>
      </c>
      <c r="I17" s="36">
        <f>_xlfn.XLOOKUP($D17,contract_type[Type],contract_type[Credit, %])</f>
        <v>0</v>
      </c>
      <c r="J17" s="74">
        <f t="shared" si="45"/>
        <v>1</v>
      </c>
      <c r="K17" s="167">
        <f t="shared" ref="K17" si="58">K19</f>
        <v>0</v>
      </c>
      <c r="L17" s="38">
        <f t="shared" si="47"/>
        <v>0</v>
      </c>
      <c r="M17" s="63"/>
      <c r="N17" s="88"/>
      <c r="O17" s="51">
        <f t="shared" si="48"/>
        <v>0</v>
      </c>
      <c r="P17" s="156">
        <f t="shared" ref="P17:P72" si="59">P19</f>
        <v>0</v>
      </c>
      <c r="Q17" s="35">
        <f t="shared" si="50"/>
        <v>1</v>
      </c>
      <c r="R17" s="97">
        <f t="shared" si="51"/>
        <v>0</v>
      </c>
      <c r="S17" s="34">
        <f t="shared" si="52"/>
        <v>-10</v>
      </c>
      <c r="T17" s="34">
        <f t="shared" si="53"/>
        <v>0</v>
      </c>
      <c r="U17" s="34">
        <f t="shared" si="54"/>
        <v>-10</v>
      </c>
      <c r="V17" s="40"/>
      <c r="W17" s="103">
        <f t="shared" si="18"/>
        <v>0</v>
      </c>
      <c r="X17" s="37">
        <f t="shared" si="19"/>
        <v>10.191194255797845</v>
      </c>
      <c r="Y17" s="37">
        <f t="shared" si="20"/>
        <v>0</v>
      </c>
      <c r="Z17" s="37">
        <f t="shared" si="21"/>
        <v>0</v>
      </c>
    </row>
    <row r="18" spans="1:26" outlineLevel="1" x14ac:dyDescent="0.25">
      <c r="A18" s="77">
        <f>A15</f>
        <v>44927</v>
      </c>
      <c r="B18" s="92">
        <f t="shared" si="57"/>
        <v>44957</v>
      </c>
      <c r="C18" s="78" t="s">
        <v>3</v>
      </c>
      <c r="D18" s="79" t="s">
        <v>43</v>
      </c>
      <c r="E18" s="162">
        <v>-75</v>
      </c>
      <c r="F18" s="80" t="str">
        <f>_xlfn.XLOOKUP($D18,contract_type[Type],contract_type[Nature])</f>
        <v>Commercial</v>
      </c>
      <c r="G18" s="80">
        <f>_xlfn.XLOOKUP($D18,contract_type[Type],contract_type[Cash, %])</f>
        <v>0.33333333333333331</v>
      </c>
      <c r="H18" s="80">
        <f>_xlfn.XLOOKUP($D18,contract_type[Type],contract_type[Flex, %])</f>
        <v>0.33333333333333331</v>
      </c>
      <c r="I18" s="80">
        <f>_xlfn.XLOOKUP($D18,contract_type[Type],contract_type[Credit, %])</f>
        <v>0.33333333333333343</v>
      </c>
      <c r="J18" s="81">
        <f t="shared" si="45"/>
        <v>1</v>
      </c>
      <c r="K18" s="168">
        <f t="shared" ref="K18" si="60">K19</f>
        <v>0</v>
      </c>
      <c r="L18" s="82">
        <f t="shared" si="47"/>
        <v>0.53333333333333344</v>
      </c>
      <c r="M18" s="83"/>
      <c r="N18" s="89"/>
      <c r="O18" s="84">
        <f t="shared" si="48"/>
        <v>0</v>
      </c>
      <c r="P18" s="157">
        <f t="shared" ref="P18" si="61">P19</f>
        <v>0</v>
      </c>
      <c r="Q18" s="85">
        <f t="shared" si="50"/>
        <v>1</v>
      </c>
      <c r="R18" s="98">
        <f t="shared" si="51"/>
        <v>-25</v>
      </c>
      <c r="S18" s="86">
        <f t="shared" si="52"/>
        <v>-25</v>
      </c>
      <c r="T18" s="86">
        <f t="shared" si="53"/>
        <v>-50</v>
      </c>
      <c r="U18" s="86">
        <f t="shared" si="54"/>
        <v>-75</v>
      </c>
      <c r="V18" s="90"/>
      <c r="W18" s="104">
        <f t="shared" si="18"/>
        <v>40.000000000000007</v>
      </c>
      <c r="X18" s="87">
        <f t="shared" si="19"/>
        <v>10.191194255797845</v>
      </c>
      <c r="Y18" s="87">
        <f t="shared" si="20"/>
        <v>3.9249570752950484</v>
      </c>
      <c r="Z18" s="87">
        <f t="shared" si="21"/>
        <v>50</v>
      </c>
    </row>
    <row r="19" spans="1:26" x14ac:dyDescent="0.25">
      <c r="A19" s="140">
        <f>A16</f>
        <v>44927</v>
      </c>
      <c r="B19" s="141">
        <f t="shared" ref="B19" si="62">EDATE(A19,1)-1</f>
        <v>44957</v>
      </c>
      <c r="C19" s="142"/>
      <c r="D19" s="142" t="s">
        <v>121</v>
      </c>
      <c r="E19" s="154">
        <f>SUM(E15:E18)</f>
        <v>-25</v>
      </c>
      <c r="F19" s="143" t="s">
        <v>120</v>
      </c>
      <c r="G19" s="154">
        <f t="shared" ref="G19" si="63">SUMPRODUCT(E15:E18,G15:G18)</f>
        <v>35</v>
      </c>
      <c r="H19" s="154">
        <f t="shared" ref="H19" si="64">SUMPRODUCT(E15:E18,H15:H18)</f>
        <v>-35</v>
      </c>
      <c r="I19" s="154">
        <f t="shared" ref="I19" si="65">SUMPRODUCT(E15:E18,I15:I18)</f>
        <v>-25.000000000000007</v>
      </c>
      <c r="J19" s="146">
        <f t="shared" si="45"/>
        <v>-25.000000000000007</v>
      </c>
      <c r="K19" s="144">
        <f>IFERROR(AVERAGE($P$8:P19),0)</f>
        <v>0</v>
      </c>
      <c r="L19" s="145"/>
      <c r="M19" s="146">
        <f t="shared" ref="M19" si="66">V14+G19</f>
        <v>35</v>
      </c>
      <c r="N19" s="147">
        <f t="shared" si="38"/>
        <v>35</v>
      </c>
      <c r="O19" s="148">
        <f t="shared" si="48"/>
        <v>0</v>
      </c>
      <c r="P19" s="155">
        <f t="shared" ref="P19" si="67">IFERROR(MIN(MAX(O19/-H19,0),1),0)</f>
        <v>0</v>
      </c>
      <c r="Q19" s="144">
        <f t="shared" si="50"/>
        <v>1</v>
      </c>
      <c r="R19" s="149">
        <f t="shared" ref="R19" si="68">Q19*H19</f>
        <v>-35</v>
      </c>
      <c r="S19" s="150">
        <f t="shared" ref="S19:U19" si="69">SUM(S15:S18)</f>
        <v>35</v>
      </c>
      <c r="T19" s="150">
        <f t="shared" si="69"/>
        <v>-60</v>
      </c>
      <c r="U19" s="150">
        <f t="shared" si="69"/>
        <v>-25</v>
      </c>
      <c r="V19" s="151">
        <f t="shared" ref="V19" si="70">V14+S19</f>
        <v>35</v>
      </c>
      <c r="W19" s="152">
        <f t="shared" si="18"/>
        <v>0</v>
      </c>
      <c r="X19" s="153">
        <f t="shared" si="19"/>
        <v>10.191194255797845</v>
      </c>
      <c r="Y19" s="153">
        <f t="shared" si="20"/>
        <v>0</v>
      </c>
      <c r="Z19" s="149">
        <f t="shared" si="21"/>
        <v>60</v>
      </c>
    </row>
    <row r="20" spans="1:26" outlineLevel="1" x14ac:dyDescent="0.25">
      <c r="A20" s="91">
        <f>EDATE(A15,1)</f>
        <v>44958</v>
      </c>
      <c r="B20" s="39">
        <f>EDATE(A20,1)-1</f>
        <v>44985</v>
      </c>
      <c r="C20" s="93" t="str">
        <f t="shared" ref="C20:D23" si="71">C15</f>
        <v>Clients</v>
      </c>
      <c r="D20" s="94" t="str">
        <f t="shared" si="71"/>
        <v>Revenues</v>
      </c>
      <c r="E20" s="164">
        <f>revenues_initial+revenues_growth*ROUND((A20-project_start)/30.25-1,0)</f>
        <v>110</v>
      </c>
      <c r="F20" s="36" t="str">
        <f>_xlfn.XLOOKUP($D20,contract_type[Type],contract_type[Nature])</f>
        <v>Commercial</v>
      </c>
      <c r="G20" s="36">
        <f>_xlfn.XLOOKUP($D20,contract_type[Type],contract_type[Cash, %])</f>
        <v>1</v>
      </c>
      <c r="H20" s="36">
        <f>_xlfn.XLOOKUP($D20,contract_type[Type],contract_type[Flex, %])</f>
        <v>0</v>
      </c>
      <c r="I20" s="36">
        <f>_xlfn.XLOOKUP($D20,contract_type[Type],contract_type[Credit, %])</f>
        <v>0</v>
      </c>
      <c r="J20" s="74">
        <f t="shared" si="45"/>
        <v>1</v>
      </c>
      <c r="K20" s="167">
        <f t="shared" ref="K20" si="72">K24</f>
        <v>0</v>
      </c>
      <c r="L20" s="38">
        <f t="shared" ref="L20:L23" si="73">ABS(H20)*($H$3+($I$3-$H$3)*(1-K20))+ABS(I20)*$I$3</f>
        <v>0</v>
      </c>
      <c r="M20" s="63"/>
      <c r="N20" s="88"/>
      <c r="O20" s="51">
        <f t="shared" si="48"/>
        <v>0</v>
      </c>
      <c r="P20" s="156">
        <f t="shared" si="49"/>
        <v>0</v>
      </c>
      <c r="Q20" s="35">
        <f t="shared" si="50"/>
        <v>1</v>
      </c>
      <c r="R20" s="97">
        <f t="shared" ref="R20:R23" si="74">IF(H20=0,0,Q20*H20*E20)</f>
        <v>0</v>
      </c>
      <c r="S20" s="34">
        <f t="shared" ref="S20:S23" si="75">$E20*(G20+IFERROR(H20*P20,0))</f>
        <v>110</v>
      </c>
      <c r="T20" s="34">
        <f t="shared" ref="T20:T23" si="76">U20-S20</f>
        <v>0</v>
      </c>
      <c r="U20" s="34">
        <f t="shared" ref="U20:U23" si="77">$E20*J20</f>
        <v>110</v>
      </c>
      <c r="V20" s="40"/>
      <c r="W20" s="103">
        <f t="shared" si="18"/>
        <v>0</v>
      </c>
      <c r="X20" s="37">
        <f t="shared" si="19"/>
        <v>10.386044035940698</v>
      </c>
      <c r="Y20" s="37">
        <f t="shared" si="20"/>
        <v>0</v>
      </c>
      <c r="Z20" s="37">
        <f t="shared" si="21"/>
        <v>0</v>
      </c>
    </row>
    <row r="21" spans="1:26" outlineLevel="1" x14ac:dyDescent="0.25">
      <c r="A21" s="76">
        <f>A20</f>
        <v>44958</v>
      </c>
      <c r="B21" s="39">
        <f>EDATE(A21,1)-1</f>
        <v>44985</v>
      </c>
      <c r="C21" s="93" t="str">
        <f t="shared" si="71"/>
        <v>Landlord</v>
      </c>
      <c r="D21" s="94" t="str">
        <f t="shared" si="71"/>
        <v>Rent</v>
      </c>
      <c r="E21" s="165">
        <f>E16</f>
        <v>-40</v>
      </c>
      <c r="F21" s="36" t="str">
        <f>_xlfn.XLOOKUP($D21,contract_type[Type],contract_type[Nature])</f>
        <v>Commercial</v>
      </c>
      <c r="G21" s="36">
        <f>_xlfn.XLOOKUP($D21,contract_type[Type],contract_type[Cash, %])</f>
        <v>0.75</v>
      </c>
      <c r="H21" s="36">
        <f>_xlfn.XLOOKUP($D21,contract_type[Type],contract_type[Flex, %])</f>
        <v>0.25</v>
      </c>
      <c r="I21" s="36">
        <f>_xlfn.XLOOKUP($D21,contract_type[Type],contract_type[Credit, %])</f>
        <v>0</v>
      </c>
      <c r="J21" s="74">
        <f t="shared" si="45"/>
        <v>1</v>
      </c>
      <c r="K21" s="167">
        <f t="shared" ref="K21" si="78">K24</f>
        <v>0</v>
      </c>
      <c r="L21" s="38">
        <f t="shared" si="73"/>
        <v>0.2</v>
      </c>
      <c r="M21" s="63"/>
      <c r="N21" s="88"/>
      <c r="O21" s="51">
        <f t="shared" si="48"/>
        <v>0</v>
      </c>
      <c r="P21" s="156">
        <f t="shared" si="56"/>
        <v>0</v>
      </c>
      <c r="Q21" s="35">
        <f t="shared" si="50"/>
        <v>1</v>
      </c>
      <c r="R21" s="97">
        <f t="shared" si="74"/>
        <v>-10</v>
      </c>
      <c r="S21" s="34">
        <f t="shared" si="75"/>
        <v>-30</v>
      </c>
      <c r="T21" s="34">
        <f t="shared" si="76"/>
        <v>-10</v>
      </c>
      <c r="U21" s="34">
        <f t="shared" si="77"/>
        <v>-40</v>
      </c>
      <c r="V21" s="40"/>
      <c r="W21" s="103">
        <f t="shared" si="18"/>
        <v>8</v>
      </c>
      <c r="X21" s="37">
        <f t="shared" si="19"/>
        <v>10.386044035940698</v>
      </c>
      <c r="Y21" s="37">
        <f t="shared" si="20"/>
        <v>0.7702644021454329</v>
      </c>
      <c r="Z21" s="37">
        <f t="shared" si="21"/>
        <v>10</v>
      </c>
    </row>
    <row r="22" spans="1:26" outlineLevel="1" x14ac:dyDescent="0.25">
      <c r="A22" s="76">
        <f>A20</f>
        <v>44958</v>
      </c>
      <c r="B22" s="39">
        <f t="shared" ref="B22:B26" si="79">EDATE(A22,1)-1</f>
        <v>44985</v>
      </c>
      <c r="C22" s="93" t="str">
        <f t="shared" si="71"/>
        <v>Suppliers</v>
      </c>
      <c r="D22" s="94" t="str">
        <f t="shared" si="71"/>
        <v>Groceries</v>
      </c>
      <c r="E22" s="163">
        <f>E20*-groceries_pc</f>
        <v>-11</v>
      </c>
      <c r="F22" s="36" t="str">
        <f>_xlfn.XLOOKUP($D22,contract_type[Type],contract_type[Nature])</f>
        <v>Commercial</v>
      </c>
      <c r="G22" s="36">
        <f>_xlfn.XLOOKUP($D22,contract_type[Type],contract_type[Cash, %])</f>
        <v>1</v>
      </c>
      <c r="H22" s="36">
        <f>_xlfn.XLOOKUP($D22,contract_type[Type],contract_type[Flex, %])</f>
        <v>0</v>
      </c>
      <c r="I22" s="36">
        <f>_xlfn.XLOOKUP($D22,contract_type[Type],contract_type[Credit, %])</f>
        <v>0</v>
      </c>
      <c r="J22" s="74">
        <f t="shared" si="45"/>
        <v>1</v>
      </c>
      <c r="K22" s="167">
        <f t="shared" ref="K22" si="80">K24</f>
        <v>0</v>
      </c>
      <c r="L22" s="38">
        <f t="shared" si="73"/>
        <v>0</v>
      </c>
      <c r="M22" s="63"/>
      <c r="N22" s="88"/>
      <c r="O22" s="51">
        <f t="shared" si="48"/>
        <v>0</v>
      </c>
      <c r="P22" s="156">
        <f t="shared" si="59"/>
        <v>0</v>
      </c>
      <c r="Q22" s="35">
        <f t="shared" si="50"/>
        <v>1</v>
      </c>
      <c r="R22" s="97">
        <f t="shared" si="74"/>
        <v>0</v>
      </c>
      <c r="S22" s="34">
        <f t="shared" si="75"/>
        <v>-11</v>
      </c>
      <c r="T22" s="34">
        <f t="shared" si="76"/>
        <v>0</v>
      </c>
      <c r="U22" s="34">
        <f t="shared" si="77"/>
        <v>-11</v>
      </c>
      <c r="V22" s="40"/>
      <c r="W22" s="103">
        <f t="shared" si="18"/>
        <v>0</v>
      </c>
      <c r="X22" s="37">
        <f t="shared" si="19"/>
        <v>10.386044035940698</v>
      </c>
      <c r="Y22" s="37">
        <f t="shared" si="20"/>
        <v>0</v>
      </c>
      <c r="Z22" s="37">
        <f t="shared" si="21"/>
        <v>0</v>
      </c>
    </row>
    <row r="23" spans="1:26" outlineLevel="1" x14ac:dyDescent="0.25">
      <c r="A23" s="77">
        <f>A20</f>
        <v>44958</v>
      </c>
      <c r="B23" s="92">
        <f t="shared" si="79"/>
        <v>44985</v>
      </c>
      <c r="C23" s="95" t="str">
        <f t="shared" si="71"/>
        <v>Alphonse</v>
      </c>
      <c r="D23" s="96" t="str">
        <f t="shared" si="71"/>
        <v>Work</v>
      </c>
      <c r="E23" s="166">
        <f>E18</f>
        <v>-75</v>
      </c>
      <c r="F23" s="80" t="str">
        <f>_xlfn.XLOOKUP($D23,contract_type[Type],contract_type[Nature])</f>
        <v>Commercial</v>
      </c>
      <c r="G23" s="80">
        <f>_xlfn.XLOOKUP($D23,contract_type[Type],contract_type[Cash, %])</f>
        <v>0.33333333333333331</v>
      </c>
      <c r="H23" s="80">
        <f>_xlfn.XLOOKUP($D23,contract_type[Type],contract_type[Flex, %])</f>
        <v>0.33333333333333331</v>
      </c>
      <c r="I23" s="80">
        <f>_xlfn.XLOOKUP($D23,contract_type[Type],contract_type[Credit, %])</f>
        <v>0.33333333333333343</v>
      </c>
      <c r="J23" s="81">
        <f t="shared" si="45"/>
        <v>1</v>
      </c>
      <c r="K23" s="168">
        <f t="shared" ref="K23" si="81">K24</f>
        <v>0</v>
      </c>
      <c r="L23" s="82">
        <f t="shared" si="73"/>
        <v>0.53333333333333344</v>
      </c>
      <c r="M23" s="83"/>
      <c r="N23" s="89"/>
      <c r="O23" s="84">
        <f t="shared" si="48"/>
        <v>0</v>
      </c>
      <c r="P23" s="157">
        <f t="shared" ref="P23" si="82">P24</f>
        <v>0</v>
      </c>
      <c r="Q23" s="85">
        <f t="shared" si="50"/>
        <v>1</v>
      </c>
      <c r="R23" s="98">
        <f t="shared" si="74"/>
        <v>-25</v>
      </c>
      <c r="S23" s="86">
        <f t="shared" si="75"/>
        <v>-25</v>
      </c>
      <c r="T23" s="86">
        <f t="shared" si="76"/>
        <v>-50</v>
      </c>
      <c r="U23" s="86">
        <f t="shared" si="77"/>
        <v>-75</v>
      </c>
      <c r="V23" s="90"/>
      <c r="W23" s="104">
        <f t="shared" si="18"/>
        <v>40.000000000000007</v>
      </c>
      <c r="X23" s="87">
        <f t="shared" si="19"/>
        <v>10.386044035940698</v>
      </c>
      <c r="Y23" s="87">
        <f t="shared" si="20"/>
        <v>3.8513220107271651</v>
      </c>
      <c r="Z23" s="87">
        <f t="shared" si="21"/>
        <v>50</v>
      </c>
    </row>
    <row r="24" spans="1:26" x14ac:dyDescent="0.25">
      <c r="A24" s="140">
        <f>A21</f>
        <v>44958</v>
      </c>
      <c r="B24" s="141">
        <f t="shared" si="79"/>
        <v>44985</v>
      </c>
      <c r="C24" s="142"/>
      <c r="D24" s="142" t="s">
        <v>121</v>
      </c>
      <c r="E24" s="154">
        <f>SUM(E20:E23)</f>
        <v>-16</v>
      </c>
      <c r="F24" s="143" t="s">
        <v>120</v>
      </c>
      <c r="G24" s="154">
        <f t="shared" ref="G24" si="83">SUMPRODUCT(E20:E23,G20:G23)</f>
        <v>44</v>
      </c>
      <c r="H24" s="154">
        <f t="shared" ref="H24" si="84">SUMPRODUCT(E20:E23,H20:H23)</f>
        <v>-35</v>
      </c>
      <c r="I24" s="154">
        <f t="shared" ref="I24" si="85">SUMPRODUCT(E20:E23,I20:I23)</f>
        <v>-25.000000000000007</v>
      </c>
      <c r="J24" s="146">
        <f t="shared" si="45"/>
        <v>-16.000000000000007</v>
      </c>
      <c r="K24" s="144">
        <f>IFERROR(AVERAGE($P$8:P24),0)</f>
        <v>0</v>
      </c>
      <c r="L24" s="145"/>
      <c r="M24" s="146">
        <f t="shared" ref="M24" si="86">V19+G24</f>
        <v>79</v>
      </c>
      <c r="N24" s="147">
        <f t="shared" si="38"/>
        <v>79</v>
      </c>
      <c r="O24" s="148">
        <f t="shared" si="48"/>
        <v>0</v>
      </c>
      <c r="P24" s="155">
        <f t="shared" ref="P24" si="87">IFERROR(MIN(MAX(O24/-H24,0),1),0)</f>
        <v>0</v>
      </c>
      <c r="Q24" s="144">
        <f t="shared" si="50"/>
        <v>1</v>
      </c>
      <c r="R24" s="149">
        <f t="shared" ref="R24" si="88">Q24*H24</f>
        <v>-35</v>
      </c>
      <c r="S24" s="150">
        <f t="shared" ref="S24:U24" si="89">SUM(S20:S23)</f>
        <v>44</v>
      </c>
      <c r="T24" s="150">
        <f t="shared" si="89"/>
        <v>-60</v>
      </c>
      <c r="U24" s="150">
        <f t="shared" si="89"/>
        <v>-16</v>
      </c>
      <c r="V24" s="151">
        <f t="shared" ref="V24" si="90">V19+S24</f>
        <v>79</v>
      </c>
      <c r="W24" s="152">
        <f t="shared" si="18"/>
        <v>0</v>
      </c>
      <c r="X24" s="153">
        <f t="shared" si="19"/>
        <v>10.386044035940698</v>
      </c>
      <c r="Y24" s="153">
        <f t="shared" si="20"/>
        <v>0</v>
      </c>
      <c r="Z24" s="149">
        <f t="shared" si="21"/>
        <v>60</v>
      </c>
    </row>
    <row r="25" spans="1:26" outlineLevel="1" x14ac:dyDescent="0.25">
      <c r="A25" s="91">
        <f t="shared" ref="A25" si="91">EDATE(A20,1)</f>
        <v>44986</v>
      </c>
      <c r="B25" s="39">
        <f t="shared" si="79"/>
        <v>45016</v>
      </c>
      <c r="C25" s="93" t="str">
        <f t="shared" ref="C25:D25" si="92">C20</f>
        <v>Clients</v>
      </c>
      <c r="D25" s="94" t="str">
        <f t="shared" si="92"/>
        <v>Revenues</v>
      </c>
      <c r="E25" s="164">
        <f>revenues_initial+revenues_growth*ROUND((A25-project_start)/30.25-1,0)</f>
        <v>120</v>
      </c>
      <c r="F25" s="36" t="str">
        <f>_xlfn.XLOOKUP($D25,contract_type[Type],contract_type[Nature])</f>
        <v>Commercial</v>
      </c>
      <c r="G25" s="36">
        <f>_xlfn.XLOOKUP($D25,contract_type[Type],contract_type[Cash, %])</f>
        <v>1</v>
      </c>
      <c r="H25" s="36">
        <f>_xlfn.XLOOKUP($D25,contract_type[Type],contract_type[Flex, %])</f>
        <v>0</v>
      </c>
      <c r="I25" s="36">
        <f>_xlfn.XLOOKUP($D25,contract_type[Type],contract_type[Credit, %])</f>
        <v>0</v>
      </c>
      <c r="J25" s="74">
        <f t="shared" ref="J25:J74" si="93">SUM(G25:I25)</f>
        <v>1</v>
      </c>
      <c r="K25" s="167">
        <f t="shared" ref="K25:K70" si="94">K29</f>
        <v>0.21768707482993196</v>
      </c>
      <c r="L25" s="38">
        <f t="shared" ref="L25:L28" si="95">ABS(H25)*($H$3+($I$3-$H$3)*(1-K25))+ABS(I25)*$I$3</f>
        <v>0</v>
      </c>
      <c r="M25" s="63"/>
      <c r="N25" s="88"/>
      <c r="O25" s="51">
        <f t="shared" ref="O25:O74" si="96">MAX(M25-N25,0)</f>
        <v>0</v>
      </c>
      <c r="P25" s="156">
        <f t="shared" si="49"/>
        <v>0.91428571428571426</v>
      </c>
      <c r="Q25" s="35">
        <f t="shared" si="50"/>
        <v>8.5714285714285743E-2</v>
      </c>
      <c r="R25" s="97">
        <f t="shared" ref="R25:R28" si="97">IF(H25=0,0,Q25*H25*E25)</f>
        <v>0</v>
      </c>
      <c r="S25" s="34">
        <f t="shared" ref="S25:S28" si="98">$E25*(G25+IFERROR(H25*P25,0))</f>
        <v>120</v>
      </c>
      <c r="T25" s="34">
        <f t="shared" ref="T25:T28" si="99">U25-S25</f>
        <v>0</v>
      </c>
      <c r="U25" s="34">
        <f t="shared" ref="U25:U28" si="100">$E25*J25</f>
        <v>120</v>
      </c>
      <c r="V25" s="40"/>
      <c r="W25" s="103">
        <f t="shared" ref="W25:W74" si="101">ABS(L25*E25)</f>
        <v>0</v>
      </c>
      <c r="X25" s="37">
        <f t="shared" ref="X25:X74" si="102">IFERROR(token_initial_index*(1+token_inflation)^((A25-project_start)/365.25),0)</f>
        <v>10.565237495531882</v>
      </c>
      <c r="Y25" s="37">
        <f t="shared" ref="Y25:Y74" si="103">W25/X25</f>
        <v>0</v>
      </c>
      <c r="Z25" s="37">
        <f t="shared" ref="Z25:Z74" si="104">-T25</f>
        <v>0</v>
      </c>
    </row>
    <row r="26" spans="1:26" outlineLevel="1" x14ac:dyDescent="0.25">
      <c r="A26" s="76">
        <f t="shared" ref="A26" si="105">A25</f>
        <v>44986</v>
      </c>
      <c r="B26" s="39">
        <f t="shared" si="79"/>
        <v>45016</v>
      </c>
      <c r="C26" s="93" t="str">
        <f t="shared" ref="C26:E26" si="106">C21</f>
        <v>Landlord</v>
      </c>
      <c r="D26" s="94" t="str">
        <f t="shared" si="106"/>
        <v>Rent</v>
      </c>
      <c r="E26" s="165">
        <f t="shared" si="106"/>
        <v>-40</v>
      </c>
      <c r="F26" s="36" t="str">
        <f>_xlfn.XLOOKUP($D26,contract_type[Type],contract_type[Nature])</f>
        <v>Commercial</v>
      </c>
      <c r="G26" s="36">
        <f>_xlfn.XLOOKUP($D26,contract_type[Type],contract_type[Cash, %])</f>
        <v>0.75</v>
      </c>
      <c r="H26" s="36">
        <f>_xlfn.XLOOKUP($D26,contract_type[Type],contract_type[Flex, %])</f>
        <v>0.25</v>
      </c>
      <c r="I26" s="36">
        <f>_xlfn.XLOOKUP($D26,contract_type[Type],contract_type[Credit, %])</f>
        <v>0</v>
      </c>
      <c r="J26" s="74">
        <f t="shared" si="93"/>
        <v>1</v>
      </c>
      <c r="K26" s="167">
        <f t="shared" ref="K26:K71" si="107">K29</f>
        <v>0.21768707482993196</v>
      </c>
      <c r="L26" s="38">
        <f t="shared" si="95"/>
        <v>0.16734693877551021</v>
      </c>
      <c r="M26" s="63"/>
      <c r="N26" s="88"/>
      <c r="O26" s="51">
        <f t="shared" si="96"/>
        <v>0</v>
      </c>
      <c r="P26" s="156">
        <f t="shared" si="56"/>
        <v>0.91428571428571426</v>
      </c>
      <c r="Q26" s="35">
        <f t="shared" si="50"/>
        <v>8.5714285714285743E-2</v>
      </c>
      <c r="R26" s="97">
        <f t="shared" si="97"/>
        <v>-0.85714285714285743</v>
      </c>
      <c r="S26" s="34">
        <f t="shared" si="98"/>
        <v>-39.142857142857139</v>
      </c>
      <c r="T26" s="34">
        <f t="shared" si="99"/>
        <v>-0.8571428571428612</v>
      </c>
      <c r="U26" s="34">
        <f t="shared" si="100"/>
        <v>-40</v>
      </c>
      <c r="V26" s="40"/>
      <c r="W26" s="103">
        <f t="shared" si="101"/>
        <v>6.6938775510204085</v>
      </c>
      <c r="X26" s="37">
        <f t="shared" si="102"/>
        <v>10.565237495531882</v>
      </c>
      <c r="Y26" s="37">
        <f t="shared" si="103"/>
        <v>0.63357568193344438</v>
      </c>
      <c r="Z26" s="37">
        <f t="shared" si="104"/>
        <v>0.8571428571428612</v>
      </c>
    </row>
    <row r="27" spans="1:26" outlineLevel="1" x14ac:dyDescent="0.25">
      <c r="A27" s="76">
        <f t="shared" ref="A27" si="108">A25</f>
        <v>44986</v>
      </c>
      <c r="B27" s="39">
        <f t="shared" ref="B27:B74" si="109">EDATE(A27,1)-1</f>
        <v>45016</v>
      </c>
      <c r="C27" s="93" t="str">
        <f t="shared" ref="C27:D27" si="110">C22</f>
        <v>Suppliers</v>
      </c>
      <c r="D27" s="94" t="str">
        <f t="shared" si="110"/>
        <v>Groceries</v>
      </c>
      <c r="E27" s="163">
        <f>E25*-groceries_pc</f>
        <v>-12</v>
      </c>
      <c r="F27" s="36" t="str">
        <f>_xlfn.XLOOKUP($D27,contract_type[Type],contract_type[Nature])</f>
        <v>Commercial</v>
      </c>
      <c r="G27" s="36">
        <f>_xlfn.XLOOKUP($D27,contract_type[Type],contract_type[Cash, %])</f>
        <v>1</v>
      </c>
      <c r="H27" s="36">
        <f>_xlfn.XLOOKUP($D27,contract_type[Type],contract_type[Flex, %])</f>
        <v>0</v>
      </c>
      <c r="I27" s="36">
        <f>_xlfn.XLOOKUP($D27,contract_type[Type],contract_type[Credit, %])</f>
        <v>0</v>
      </c>
      <c r="J27" s="74">
        <f t="shared" si="93"/>
        <v>1</v>
      </c>
      <c r="K27" s="167">
        <f t="shared" ref="K27:K72" si="111">K29</f>
        <v>0.21768707482993196</v>
      </c>
      <c r="L27" s="38">
        <f t="shared" si="95"/>
        <v>0</v>
      </c>
      <c r="M27" s="63"/>
      <c r="N27" s="88"/>
      <c r="O27" s="51">
        <f t="shared" si="96"/>
        <v>0</v>
      </c>
      <c r="P27" s="156">
        <f t="shared" si="59"/>
        <v>0.91428571428571426</v>
      </c>
      <c r="Q27" s="35">
        <f t="shared" si="50"/>
        <v>8.5714285714285743E-2</v>
      </c>
      <c r="R27" s="97">
        <f t="shared" si="97"/>
        <v>0</v>
      </c>
      <c r="S27" s="34">
        <f t="shared" si="98"/>
        <v>-12</v>
      </c>
      <c r="T27" s="34">
        <f t="shared" si="99"/>
        <v>0</v>
      </c>
      <c r="U27" s="34">
        <f t="shared" si="100"/>
        <v>-12</v>
      </c>
      <c r="V27" s="40"/>
      <c r="W27" s="103">
        <f t="shared" si="101"/>
        <v>0</v>
      </c>
      <c r="X27" s="37">
        <f t="shared" si="102"/>
        <v>10.565237495531882</v>
      </c>
      <c r="Y27" s="37">
        <f t="shared" si="103"/>
        <v>0</v>
      </c>
      <c r="Z27" s="37">
        <f t="shared" si="104"/>
        <v>0</v>
      </c>
    </row>
    <row r="28" spans="1:26" outlineLevel="1" x14ac:dyDescent="0.25">
      <c r="A28" s="77">
        <f t="shared" ref="A28:A29" si="112">A25</f>
        <v>44986</v>
      </c>
      <c r="B28" s="92">
        <f t="shared" si="109"/>
        <v>45016</v>
      </c>
      <c r="C28" s="95" t="str">
        <f t="shared" ref="C28:E28" si="113">C23</f>
        <v>Alphonse</v>
      </c>
      <c r="D28" s="96" t="str">
        <f t="shared" si="113"/>
        <v>Work</v>
      </c>
      <c r="E28" s="166">
        <f t="shared" si="113"/>
        <v>-75</v>
      </c>
      <c r="F28" s="80" t="str">
        <f>_xlfn.XLOOKUP($D28,contract_type[Type],contract_type[Nature])</f>
        <v>Commercial</v>
      </c>
      <c r="G28" s="80">
        <f>_xlfn.XLOOKUP($D28,contract_type[Type],contract_type[Cash, %])</f>
        <v>0.33333333333333331</v>
      </c>
      <c r="H28" s="80">
        <f>_xlfn.XLOOKUP($D28,contract_type[Type],contract_type[Flex, %])</f>
        <v>0.33333333333333331</v>
      </c>
      <c r="I28" s="80">
        <f>_xlfn.XLOOKUP($D28,contract_type[Type],contract_type[Credit, %])</f>
        <v>0.33333333333333343</v>
      </c>
      <c r="J28" s="81">
        <f t="shared" si="93"/>
        <v>1</v>
      </c>
      <c r="K28" s="168">
        <f t="shared" ref="K28" si="114">K29</f>
        <v>0.21768707482993196</v>
      </c>
      <c r="L28" s="82">
        <f t="shared" si="95"/>
        <v>0.48979591836734704</v>
      </c>
      <c r="M28" s="83"/>
      <c r="N28" s="89"/>
      <c r="O28" s="84">
        <f t="shared" si="96"/>
        <v>0</v>
      </c>
      <c r="P28" s="157">
        <f t="shared" ref="P28" si="115">P29</f>
        <v>0.91428571428571426</v>
      </c>
      <c r="Q28" s="85">
        <f t="shared" si="50"/>
        <v>8.5714285714285743E-2</v>
      </c>
      <c r="R28" s="98">
        <f t="shared" si="97"/>
        <v>-2.1428571428571437</v>
      </c>
      <c r="S28" s="86">
        <f t="shared" si="98"/>
        <v>-47.857142857142854</v>
      </c>
      <c r="T28" s="86">
        <f t="shared" si="99"/>
        <v>-27.142857142857146</v>
      </c>
      <c r="U28" s="86">
        <f t="shared" si="100"/>
        <v>-75</v>
      </c>
      <c r="V28" s="90"/>
      <c r="W28" s="104">
        <f t="shared" si="101"/>
        <v>36.734693877551031</v>
      </c>
      <c r="X28" s="87">
        <f t="shared" si="102"/>
        <v>10.565237495531882</v>
      </c>
      <c r="Y28" s="87">
        <f t="shared" si="103"/>
        <v>3.4769397179274395</v>
      </c>
      <c r="Z28" s="87">
        <f t="shared" si="104"/>
        <v>27.142857142857146</v>
      </c>
    </row>
    <row r="29" spans="1:26" x14ac:dyDescent="0.25">
      <c r="A29" s="140">
        <f t="shared" si="112"/>
        <v>44986</v>
      </c>
      <c r="B29" s="141">
        <f t="shared" si="109"/>
        <v>45016</v>
      </c>
      <c r="C29" s="142"/>
      <c r="D29" s="142" t="s">
        <v>121</v>
      </c>
      <c r="E29" s="154">
        <f t="shared" ref="E29" si="116">SUM(E25:E28)</f>
        <v>-7</v>
      </c>
      <c r="F29" s="143" t="s">
        <v>120</v>
      </c>
      <c r="G29" s="154">
        <f t="shared" ref="G29" si="117">SUMPRODUCT(E25:E28,G25:G28)</f>
        <v>53</v>
      </c>
      <c r="H29" s="154">
        <f t="shared" ref="H29" si="118">SUMPRODUCT(E25:E28,H25:H28)</f>
        <v>-35</v>
      </c>
      <c r="I29" s="154">
        <f t="shared" ref="I29" si="119">SUMPRODUCT(E25:E28,I25:I28)</f>
        <v>-25.000000000000007</v>
      </c>
      <c r="J29" s="146">
        <f t="shared" si="93"/>
        <v>-7.0000000000000071</v>
      </c>
      <c r="K29" s="144">
        <f>IFERROR(AVERAGE($P$8:P29),0)</f>
        <v>0.21768707482993196</v>
      </c>
      <c r="L29" s="145"/>
      <c r="M29" s="146">
        <f t="shared" ref="M29" si="120">V24+G29</f>
        <v>132</v>
      </c>
      <c r="N29" s="147">
        <f t="shared" si="38"/>
        <v>100</v>
      </c>
      <c r="O29" s="148">
        <f t="shared" si="96"/>
        <v>32</v>
      </c>
      <c r="P29" s="155">
        <f t="shared" ref="P29" si="121">IFERROR(MIN(MAX(O29/-H29,0),1),0)</f>
        <v>0.91428571428571426</v>
      </c>
      <c r="Q29" s="144">
        <f t="shared" si="50"/>
        <v>8.5714285714285743E-2</v>
      </c>
      <c r="R29" s="149">
        <f t="shared" ref="R29" si="122">Q29*H29</f>
        <v>-3.0000000000000009</v>
      </c>
      <c r="S29" s="150">
        <f t="shared" ref="S29" si="123">SUM(S25:S28)</f>
        <v>21.000000000000007</v>
      </c>
      <c r="T29" s="150">
        <f t="shared" ref="T29" si="124">SUM(T25:T28)</f>
        <v>-28.000000000000007</v>
      </c>
      <c r="U29" s="150">
        <f t="shared" ref="U29" si="125">SUM(U25:U28)</f>
        <v>-7</v>
      </c>
      <c r="V29" s="151">
        <f t="shared" ref="V29" si="126">V24+S29</f>
        <v>100</v>
      </c>
      <c r="W29" s="152">
        <f t="shared" si="101"/>
        <v>0</v>
      </c>
      <c r="X29" s="153">
        <f t="shared" si="102"/>
        <v>10.565237495531882</v>
      </c>
      <c r="Y29" s="153">
        <f t="shared" si="103"/>
        <v>0</v>
      </c>
      <c r="Z29" s="149">
        <f t="shared" si="104"/>
        <v>28.000000000000007</v>
      </c>
    </row>
    <row r="30" spans="1:26" outlineLevel="1" x14ac:dyDescent="0.25">
      <c r="A30" s="91">
        <f t="shared" ref="A30" si="127">EDATE(A25,1)</f>
        <v>45017</v>
      </c>
      <c r="B30" s="39">
        <f t="shared" si="109"/>
        <v>45046</v>
      </c>
      <c r="C30" s="93" t="str">
        <f t="shared" ref="C30:D30" si="128">C25</f>
        <v>Clients</v>
      </c>
      <c r="D30" s="94" t="str">
        <f t="shared" si="128"/>
        <v>Revenues</v>
      </c>
      <c r="E30" s="164">
        <f>revenues_initial+revenues_growth*ROUND((A30-project_start)/30.25-1,0)</f>
        <v>130</v>
      </c>
      <c r="F30" s="36" t="str">
        <f>_xlfn.XLOOKUP($D30,contract_type[Type],contract_type[Nature])</f>
        <v>Commercial</v>
      </c>
      <c r="G30" s="36">
        <f>_xlfn.XLOOKUP($D30,contract_type[Type],contract_type[Cash, %])</f>
        <v>1</v>
      </c>
      <c r="H30" s="36">
        <f>_xlfn.XLOOKUP($D30,contract_type[Type],contract_type[Flex, %])</f>
        <v>0</v>
      </c>
      <c r="I30" s="36">
        <f>_xlfn.XLOOKUP($D30,contract_type[Type],contract_type[Credit, %])</f>
        <v>0</v>
      </c>
      <c r="J30" s="74">
        <f t="shared" si="93"/>
        <v>1</v>
      </c>
      <c r="K30" s="167">
        <f t="shared" si="94"/>
        <v>0.3681318681318681</v>
      </c>
      <c r="L30" s="38">
        <f t="shared" ref="L30:L33" si="129">ABS(H30)*($H$3+($I$3-$H$3)*(1-K30))+ABS(I30)*$I$3</f>
        <v>0</v>
      </c>
      <c r="M30" s="63"/>
      <c r="N30" s="88"/>
      <c r="O30" s="51">
        <f t="shared" si="96"/>
        <v>0</v>
      </c>
      <c r="P30" s="156">
        <f t="shared" si="49"/>
        <v>1</v>
      </c>
      <c r="Q30" s="35">
        <f t="shared" si="50"/>
        <v>0</v>
      </c>
      <c r="R30" s="97">
        <f t="shared" ref="R30:R33" si="130">IF(H30=0,0,Q30*H30*E30)</f>
        <v>0</v>
      </c>
      <c r="S30" s="34">
        <f t="shared" ref="S30:S33" si="131">$E30*(G30+IFERROR(H30*P30,0))</f>
        <v>130</v>
      </c>
      <c r="T30" s="34">
        <f t="shared" ref="T30:T33" si="132">U30-S30</f>
        <v>0</v>
      </c>
      <c r="U30" s="34">
        <f t="shared" ref="U30:U33" si="133">$E30*J30</f>
        <v>130</v>
      </c>
      <c r="V30" s="40"/>
      <c r="W30" s="103">
        <f t="shared" si="101"/>
        <v>0</v>
      </c>
      <c r="X30" s="37">
        <f t="shared" si="102"/>
        <v>10.767238767560453</v>
      </c>
      <c r="Y30" s="37">
        <f t="shared" si="103"/>
        <v>0</v>
      </c>
      <c r="Z30" s="37">
        <f t="shared" si="104"/>
        <v>0</v>
      </c>
    </row>
    <row r="31" spans="1:26" outlineLevel="1" x14ac:dyDescent="0.25">
      <c r="A31" s="76">
        <f t="shared" ref="A31" si="134">A30</f>
        <v>45017</v>
      </c>
      <c r="B31" s="39">
        <f t="shared" si="109"/>
        <v>45046</v>
      </c>
      <c r="C31" s="93" t="str">
        <f t="shared" ref="C31:E31" si="135">C26</f>
        <v>Landlord</v>
      </c>
      <c r="D31" s="94" t="str">
        <f t="shared" si="135"/>
        <v>Rent</v>
      </c>
      <c r="E31" s="165">
        <f t="shared" si="135"/>
        <v>-40</v>
      </c>
      <c r="F31" s="36" t="str">
        <f>_xlfn.XLOOKUP($D31,contract_type[Type],contract_type[Nature])</f>
        <v>Commercial</v>
      </c>
      <c r="G31" s="36">
        <f>_xlfn.XLOOKUP($D31,contract_type[Type],contract_type[Cash, %])</f>
        <v>0.75</v>
      </c>
      <c r="H31" s="36">
        <f>_xlfn.XLOOKUP($D31,contract_type[Type],contract_type[Flex, %])</f>
        <v>0.25</v>
      </c>
      <c r="I31" s="36">
        <f>_xlfn.XLOOKUP($D31,contract_type[Type],contract_type[Credit, %])</f>
        <v>0</v>
      </c>
      <c r="J31" s="74">
        <f t="shared" si="93"/>
        <v>1</v>
      </c>
      <c r="K31" s="167">
        <f t="shared" si="107"/>
        <v>0.3681318681318681</v>
      </c>
      <c r="L31" s="38">
        <f t="shared" si="129"/>
        <v>0.14478021978021979</v>
      </c>
      <c r="M31" s="63"/>
      <c r="N31" s="88"/>
      <c r="O31" s="51">
        <f t="shared" si="96"/>
        <v>0</v>
      </c>
      <c r="P31" s="156">
        <f t="shared" si="56"/>
        <v>1</v>
      </c>
      <c r="Q31" s="35">
        <f t="shared" si="50"/>
        <v>0</v>
      </c>
      <c r="R31" s="97">
        <f t="shared" si="130"/>
        <v>0</v>
      </c>
      <c r="S31" s="34">
        <f t="shared" si="131"/>
        <v>-40</v>
      </c>
      <c r="T31" s="34">
        <f t="shared" si="132"/>
        <v>0</v>
      </c>
      <c r="U31" s="34">
        <f t="shared" si="133"/>
        <v>-40</v>
      </c>
      <c r="V31" s="40"/>
      <c r="W31" s="103">
        <f t="shared" si="101"/>
        <v>5.791208791208792</v>
      </c>
      <c r="X31" s="37">
        <f t="shared" si="102"/>
        <v>10.767238767560453</v>
      </c>
      <c r="Y31" s="37">
        <f t="shared" si="103"/>
        <v>0.53785458985608747</v>
      </c>
      <c r="Z31" s="37">
        <f t="shared" si="104"/>
        <v>0</v>
      </c>
    </row>
    <row r="32" spans="1:26" outlineLevel="1" x14ac:dyDescent="0.25">
      <c r="A32" s="76">
        <f t="shared" ref="A32" si="136">A30</f>
        <v>45017</v>
      </c>
      <c r="B32" s="39">
        <f t="shared" si="109"/>
        <v>45046</v>
      </c>
      <c r="C32" s="93" t="str">
        <f t="shared" ref="C32:D32" si="137">C27</f>
        <v>Suppliers</v>
      </c>
      <c r="D32" s="94" t="str">
        <f t="shared" si="137"/>
        <v>Groceries</v>
      </c>
      <c r="E32" s="163">
        <f>E30*-groceries_pc</f>
        <v>-13</v>
      </c>
      <c r="F32" s="36" t="str">
        <f>_xlfn.XLOOKUP($D32,contract_type[Type],contract_type[Nature])</f>
        <v>Commercial</v>
      </c>
      <c r="G32" s="36">
        <f>_xlfn.XLOOKUP($D32,contract_type[Type],contract_type[Cash, %])</f>
        <v>1</v>
      </c>
      <c r="H32" s="36">
        <f>_xlfn.XLOOKUP($D32,contract_type[Type],contract_type[Flex, %])</f>
        <v>0</v>
      </c>
      <c r="I32" s="36">
        <f>_xlfn.XLOOKUP($D32,contract_type[Type],contract_type[Credit, %])</f>
        <v>0</v>
      </c>
      <c r="J32" s="74">
        <f t="shared" si="93"/>
        <v>1</v>
      </c>
      <c r="K32" s="167">
        <f t="shared" si="111"/>
        <v>0.3681318681318681</v>
      </c>
      <c r="L32" s="38">
        <f t="shared" si="129"/>
        <v>0</v>
      </c>
      <c r="M32" s="63"/>
      <c r="N32" s="88"/>
      <c r="O32" s="51">
        <f t="shared" si="96"/>
        <v>0</v>
      </c>
      <c r="P32" s="156">
        <f t="shared" si="59"/>
        <v>1</v>
      </c>
      <c r="Q32" s="35">
        <f t="shared" si="50"/>
        <v>0</v>
      </c>
      <c r="R32" s="97">
        <f t="shared" si="130"/>
        <v>0</v>
      </c>
      <c r="S32" s="34">
        <f t="shared" si="131"/>
        <v>-13</v>
      </c>
      <c r="T32" s="34">
        <f t="shared" si="132"/>
        <v>0</v>
      </c>
      <c r="U32" s="34">
        <f t="shared" si="133"/>
        <v>-13</v>
      </c>
      <c r="V32" s="40"/>
      <c r="W32" s="103">
        <f t="shared" si="101"/>
        <v>0</v>
      </c>
      <c r="X32" s="37">
        <f t="shared" si="102"/>
        <v>10.767238767560453</v>
      </c>
      <c r="Y32" s="37">
        <f t="shared" si="103"/>
        <v>0</v>
      </c>
      <c r="Z32" s="37">
        <f t="shared" si="104"/>
        <v>0</v>
      </c>
    </row>
    <row r="33" spans="1:26" outlineLevel="1" x14ac:dyDescent="0.25">
      <c r="A33" s="77">
        <f t="shared" ref="A33:A34" si="138">A30</f>
        <v>45017</v>
      </c>
      <c r="B33" s="92">
        <f t="shared" si="109"/>
        <v>45046</v>
      </c>
      <c r="C33" s="95" t="str">
        <f t="shared" ref="C33:E33" si="139">C28</f>
        <v>Alphonse</v>
      </c>
      <c r="D33" s="96" t="str">
        <f t="shared" si="139"/>
        <v>Work</v>
      </c>
      <c r="E33" s="166">
        <f t="shared" si="139"/>
        <v>-75</v>
      </c>
      <c r="F33" s="80" t="str">
        <f>_xlfn.XLOOKUP($D33,contract_type[Type],contract_type[Nature])</f>
        <v>Commercial</v>
      </c>
      <c r="G33" s="80">
        <f>_xlfn.XLOOKUP($D33,contract_type[Type],contract_type[Cash, %])</f>
        <v>0.33333333333333331</v>
      </c>
      <c r="H33" s="80">
        <f>_xlfn.XLOOKUP($D33,contract_type[Type],contract_type[Flex, %])</f>
        <v>0.33333333333333331</v>
      </c>
      <c r="I33" s="80">
        <f>_xlfn.XLOOKUP($D33,contract_type[Type],contract_type[Credit, %])</f>
        <v>0.33333333333333343</v>
      </c>
      <c r="J33" s="81">
        <f t="shared" si="93"/>
        <v>1</v>
      </c>
      <c r="K33" s="168">
        <f t="shared" ref="K33" si="140">K34</f>
        <v>0.3681318681318681</v>
      </c>
      <c r="L33" s="82">
        <f t="shared" si="129"/>
        <v>0.45970695970695985</v>
      </c>
      <c r="M33" s="83"/>
      <c r="N33" s="89"/>
      <c r="O33" s="84">
        <f t="shared" si="96"/>
        <v>0</v>
      </c>
      <c r="P33" s="157">
        <f t="shared" ref="P33" si="141">P34</f>
        <v>1</v>
      </c>
      <c r="Q33" s="85">
        <f t="shared" si="50"/>
        <v>0</v>
      </c>
      <c r="R33" s="98">
        <f t="shared" si="130"/>
        <v>0</v>
      </c>
      <c r="S33" s="86">
        <f t="shared" si="131"/>
        <v>-50</v>
      </c>
      <c r="T33" s="86">
        <f t="shared" si="132"/>
        <v>-25</v>
      </c>
      <c r="U33" s="86">
        <f t="shared" si="133"/>
        <v>-75</v>
      </c>
      <c r="V33" s="90"/>
      <c r="W33" s="104">
        <f t="shared" si="101"/>
        <v>34.478021978021985</v>
      </c>
      <c r="X33" s="87">
        <f t="shared" si="102"/>
        <v>10.767238767560453</v>
      </c>
      <c r="Y33" s="87">
        <f t="shared" si="103"/>
        <v>3.2021229139914125</v>
      </c>
      <c r="Z33" s="87">
        <f t="shared" si="104"/>
        <v>25</v>
      </c>
    </row>
    <row r="34" spans="1:26" x14ac:dyDescent="0.25">
      <c r="A34" s="140">
        <f t="shared" si="138"/>
        <v>45017</v>
      </c>
      <c r="B34" s="141">
        <f t="shared" si="109"/>
        <v>45046</v>
      </c>
      <c r="C34" s="142"/>
      <c r="D34" s="142" t="s">
        <v>121</v>
      </c>
      <c r="E34" s="154">
        <f t="shared" ref="E34" si="142">SUM(E30:E33)</f>
        <v>2</v>
      </c>
      <c r="F34" s="143" t="s">
        <v>120</v>
      </c>
      <c r="G34" s="154">
        <f t="shared" ref="G34" si="143">SUMPRODUCT(E30:E33,G30:G33)</f>
        <v>62</v>
      </c>
      <c r="H34" s="154">
        <f t="shared" ref="H34" si="144">SUMPRODUCT(E30:E33,H30:H33)</f>
        <v>-35</v>
      </c>
      <c r="I34" s="154">
        <f t="shared" ref="I34" si="145">SUMPRODUCT(E30:E33,I30:I33)</f>
        <v>-25.000000000000007</v>
      </c>
      <c r="J34" s="146">
        <f t="shared" si="93"/>
        <v>1.9999999999999929</v>
      </c>
      <c r="K34" s="144">
        <f>IFERROR(AVERAGE($P$8:P34),0)</f>
        <v>0.3681318681318681</v>
      </c>
      <c r="L34" s="145"/>
      <c r="M34" s="146">
        <f t="shared" ref="M34" si="146">V29+G34</f>
        <v>162</v>
      </c>
      <c r="N34" s="147">
        <f t="shared" si="38"/>
        <v>100</v>
      </c>
      <c r="O34" s="148">
        <f t="shared" si="96"/>
        <v>62</v>
      </c>
      <c r="P34" s="155">
        <f t="shared" ref="P34" si="147">IFERROR(MIN(MAX(O34/-H34,0),1),0)</f>
        <v>1</v>
      </c>
      <c r="Q34" s="144">
        <f t="shared" si="50"/>
        <v>0</v>
      </c>
      <c r="R34" s="149">
        <f t="shared" ref="R34" si="148">Q34*H34</f>
        <v>0</v>
      </c>
      <c r="S34" s="150">
        <f t="shared" ref="S34" si="149">SUM(S30:S33)</f>
        <v>27</v>
      </c>
      <c r="T34" s="150">
        <f t="shared" ref="T34" si="150">SUM(T30:T33)</f>
        <v>-25</v>
      </c>
      <c r="U34" s="150">
        <f t="shared" ref="U34" si="151">SUM(U30:U33)</f>
        <v>2</v>
      </c>
      <c r="V34" s="151">
        <f t="shared" ref="V34" si="152">V29+S34</f>
        <v>127</v>
      </c>
      <c r="W34" s="152">
        <f t="shared" si="101"/>
        <v>0</v>
      </c>
      <c r="X34" s="153">
        <f t="shared" si="102"/>
        <v>10.767238767560453</v>
      </c>
      <c r="Y34" s="153">
        <f t="shared" si="103"/>
        <v>0</v>
      </c>
      <c r="Z34" s="149">
        <f t="shared" si="104"/>
        <v>25</v>
      </c>
    </row>
    <row r="35" spans="1:26" outlineLevel="1" x14ac:dyDescent="0.25">
      <c r="A35" s="91">
        <f t="shared" ref="A35" si="153">EDATE(A30,1)</f>
        <v>45047</v>
      </c>
      <c r="B35" s="39">
        <f t="shared" si="109"/>
        <v>45077</v>
      </c>
      <c r="C35" s="93" t="str">
        <f t="shared" ref="C35:D35" si="154">C30</f>
        <v>Clients</v>
      </c>
      <c r="D35" s="94" t="str">
        <f t="shared" si="154"/>
        <v>Revenues</v>
      </c>
      <c r="E35" s="164">
        <f>revenues_initial+revenues_growth*ROUND((A35-project_start)/30.25-1,0)</f>
        <v>140</v>
      </c>
      <c r="F35" s="36" t="str">
        <f>_xlfn.XLOOKUP($D35,contract_type[Type],contract_type[Nature])</f>
        <v>Commercial</v>
      </c>
      <c r="G35" s="36">
        <f>_xlfn.XLOOKUP($D35,contract_type[Type],contract_type[Cash, %])</f>
        <v>1</v>
      </c>
      <c r="H35" s="36">
        <f>_xlfn.XLOOKUP($D35,contract_type[Type],contract_type[Flex, %])</f>
        <v>0</v>
      </c>
      <c r="I35" s="36">
        <f>_xlfn.XLOOKUP($D35,contract_type[Type],contract_type[Credit, %])</f>
        <v>0</v>
      </c>
      <c r="J35" s="74">
        <f t="shared" si="93"/>
        <v>1</v>
      </c>
      <c r="K35" s="167">
        <f t="shared" si="94"/>
        <v>0.47004608294930877</v>
      </c>
      <c r="L35" s="38">
        <f t="shared" ref="L35:L38" si="155">ABS(H35)*($H$3+($I$3-$H$3)*(1-K35))+ABS(I35)*$I$3</f>
        <v>0</v>
      </c>
      <c r="M35" s="63"/>
      <c r="N35" s="88"/>
      <c r="O35" s="51">
        <f t="shared" si="96"/>
        <v>0</v>
      </c>
      <c r="P35" s="156">
        <f t="shared" si="49"/>
        <v>1</v>
      </c>
      <c r="Q35" s="35">
        <f t="shared" si="50"/>
        <v>0</v>
      </c>
      <c r="R35" s="97">
        <f t="shared" ref="R35:R38" si="156">IF(H35=0,0,Q35*H35*E35)</f>
        <v>0</v>
      </c>
      <c r="S35" s="34">
        <f t="shared" ref="S35:S38" si="157">$E35*(G35+IFERROR(H35*P35,0))</f>
        <v>140</v>
      </c>
      <c r="T35" s="34">
        <f t="shared" ref="T35:T38" si="158">U35-S35</f>
        <v>0</v>
      </c>
      <c r="U35" s="34">
        <f t="shared" ref="U35:U38" si="159">$E35*J35</f>
        <v>140</v>
      </c>
      <c r="V35" s="40"/>
      <c r="W35" s="103">
        <f t="shared" si="101"/>
        <v>0</v>
      </c>
      <c r="X35" s="37">
        <f t="shared" si="102"/>
        <v>10.96640039681767</v>
      </c>
      <c r="Y35" s="37">
        <f t="shared" si="103"/>
        <v>0</v>
      </c>
      <c r="Z35" s="37">
        <f t="shared" si="104"/>
        <v>0</v>
      </c>
    </row>
    <row r="36" spans="1:26" outlineLevel="1" x14ac:dyDescent="0.25">
      <c r="A36" s="76">
        <f t="shared" ref="A36" si="160">A35</f>
        <v>45047</v>
      </c>
      <c r="B36" s="39">
        <f t="shared" si="109"/>
        <v>45077</v>
      </c>
      <c r="C36" s="93" t="str">
        <f t="shared" ref="C36:E36" si="161">C31</f>
        <v>Landlord</v>
      </c>
      <c r="D36" s="94" t="str">
        <f t="shared" si="161"/>
        <v>Rent</v>
      </c>
      <c r="E36" s="165">
        <f t="shared" si="161"/>
        <v>-40</v>
      </c>
      <c r="F36" s="36" t="str">
        <f>_xlfn.XLOOKUP($D36,contract_type[Type],contract_type[Nature])</f>
        <v>Commercial</v>
      </c>
      <c r="G36" s="36">
        <f>_xlfn.XLOOKUP($D36,contract_type[Type],contract_type[Cash, %])</f>
        <v>0.75</v>
      </c>
      <c r="H36" s="36">
        <f>_xlfn.XLOOKUP($D36,contract_type[Type],contract_type[Flex, %])</f>
        <v>0.25</v>
      </c>
      <c r="I36" s="36">
        <f>_xlfn.XLOOKUP($D36,contract_type[Type],contract_type[Credit, %])</f>
        <v>0</v>
      </c>
      <c r="J36" s="74">
        <f t="shared" si="93"/>
        <v>1</v>
      </c>
      <c r="K36" s="167">
        <f t="shared" si="107"/>
        <v>0.47004608294930877</v>
      </c>
      <c r="L36" s="38">
        <f t="shared" si="155"/>
        <v>0.12949308755760369</v>
      </c>
      <c r="M36" s="63"/>
      <c r="N36" s="88"/>
      <c r="O36" s="51">
        <f t="shared" si="96"/>
        <v>0</v>
      </c>
      <c r="P36" s="156">
        <f t="shared" si="56"/>
        <v>1</v>
      </c>
      <c r="Q36" s="35">
        <f t="shared" si="50"/>
        <v>0</v>
      </c>
      <c r="R36" s="97">
        <f t="shared" si="156"/>
        <v>0</v>
      </c>
      <c r="S36" s="34">
        <f t="shared" si="157"/>
        <v>-40</v>
      </c>
      <c r="T36" s="34">
        <f t="shared" si="158"/>
        <v>0</v>
      </c>
      <c r="U36" s="34">
        <f t="shared" si="159"/>
        <v>-40</v>
      </c>
      <c r="V36" s="40"/>
      <c r="W36" s="103">
        <f t="shared" si="101"/>
        <v>5.1797235023041477</v>
      </c>
      <c r="X36" s="37">
        <f t="shared" si="102"/>
        <v>10.96640039681767</v>
      </c>
      <c r="Y36" s="37">
        <f t="shared" si="103"/>
        <v>0.47232668103266107</v>
      </c>
      <c r="Z36" s="37">
        <f t="shared" si="104"/>
        <v>0</v>
      </c>
    </row>
    <row r="37" spans="1:26" outlineLevel="1" x14ac:dyDescent="0.25">
      <c r="A37" s="76">
        <f t="shared" ref="A37" si="162">A35</f>
        <v>45047</v>
      </c>
      <c r="B37" s="39">
        <f t="shared" si="109"/>
        <v>45077</v>
      </c>
      <c r="C37" s="93" t="str">
        <f t="shared" ref="C37:D37" si="163">C32</f>
        <v>Suppliers</v>
      </c>
      <c r="D37" s="94" t="str">
        <f t="shared" si="163"/>
        <v>Groceries</v>
      </c>
      <c r="E37" s="163">
        <f>E35*-groceries_pc</f>
        <v>-14</v>
      </c>
      <c r="F37" s="36" t="str">
        <f>_xlfn.XLOOKUP($D37,contract_type[Type],contract_type[Nature])</f>
        <v>Commercial</v>
      </c>
      <c r="G37" s="36">
        <f>_xlfn.XLOOKUP($D37,contract_type[Type],contract_type[Cash, %])</f>
        <v>1</v>
      </c>
      <c r="H37" s="36">
        <f>_xlfn.XLOOKUP($D37,contract_type[Type],contract_type[Flex, %])</f>
        <v>0</v>
      </c>
      <c r="I37" s="36">
        <f>_xlfn.XLOOKUP($D37,contract_type[Type],contract_type[Credit, %])</f>
        <v>0</v>
      </c>
      <c r="J37" s="74">
        <f t="shared" si="93"/>
        <v>1</v>
      </c>
      <c r="K37" s="167">
        <f t="shared" si="111"/>
        <v>0.47004608294930877</v>
      </c>
      <c r="L37" s="38">
        <f t="shared" si="155"/>
        <v>0</v>
      </c>
      <c r="M37" s="63"/>
      <c r="N37" s="88"/>
      <c r="O37" s="51">
        <f t="shared" si="96"/>
        <v>0</v>
      </c>
      <c r="P37" s="156">
        <f t="shared" si="59"/>
        <v>1</v>
      </c>
      <c r="Q37" s="35">
        <f t="shared" si="50"/>
        <v>0</v>
      </c>
      <c r="R37" s="97">
        <f t="shared" si="156"/>
        <v>0</v>
      </c>
      <c r="S37" s="34">
        <f t="shared" si="157"/>
        <v>-14</v>
      </c>
      <c r="T37" s="34">
        <f t="shared" si="158"/>
        <v>0</v>
      </c>
      <c r="U37" s="34">
        <f t="shared" si="159"/>
        <v>-14</v>
      </c>
      <c r="V37" s="40"/>
      <c r="W37" s="103">
        <f t="shared" si="101"/>
        <v>0</v>
      </c>
      <c r="X37" s="37">
        <f t="shared" si="102"/>
        <v>10.96640039681767</v>
      </c>
      <c r="Y37" s="37">
        <f t="shared" si="103"/>
        <v>0</v>
      </c>
      <c r="Z37" s="37">
        <f t="shared" si="104"/>
        <v>0</v>
      </c>
    </row>
    <row r="38" spans="1:26" outlineLevel="1" x14ac:dyDescent="0.25">
      <c r="A38" s="77">
        <f t="shared" ref="A38:A39" si="164">A35</f>
        <v>45047</v>
      </c>
      <c r="B38" s="92">
        <f t="shared" si="109"/>
        <v>45077</v>
      </c>
      <c r="C38" s="95" t="str">
        <f t="shared" ref="C38:E38" si="165">C33</f>
        <v>Alphonse</v>
      </c>
      <c r="D38" s="96" t="str">
        <f t="shared" si="165"/>
        <v>Work</v>
      </c>
      <c r="E38" s="166">
        <f t="shared" si="165"/>
        <v>-75</v>
      </c>
      <c r="F38" s="80" t="str">
        <f>_xlfn.XLOOKUP($D38,contract_type[Type],contract_type[Nature])</f>
        <v>Commercial</v>
      </c>
      <c r="G38" s="80">
        <f>_xlfn.XLOOKUP($D38,contract_type[Type],contract_type[Cash, %])</f>
        <v>0.33333333333333331</v>
      </c>
      <c r="H38" s="80">
        <f>_xlfn.XLOOKUP($D38,contract_type[Type],contract_type[Flex, %])</f>
        <v>0.33333333333333331</v>
      </c>
      <c r="I38" s="80">
        <f>_xlfn.XLOOKUP($D38,contract_type[Type],contract_type[Credit, %])</f>
        <v>0.33333333333333343</v>
      </c>
      <c r="J38" s="81">
        <f t="shared" si="93"/>
        <v>1</v>
      </c>
      <c r="K38" s="168">
        <f t="shared" ref="K38" si="166">K39</f>
        <v>0.47004608294930877</v>
      </c>
      <c r="L38" s="82">
        <f t="shared" si="155"/>
        <v>0.43932411674347172</v>
      </c>
      <c r="M38" s="83"/>
      <c r="N38" s="89"/>
      <c r="O38" s="84">
        <f t="shared" si="96"/>
        <v>0</v>
      </c>
      <c r="P38" s="157">
        <f t="shared" ref="P38" si="167">P39</f>
        <v>1</v>
      </c>
      <c r="Q38" s="85">
        <f t="shared" si="50"/>
        <v>0</v>
      </c>
      <c r="R38" s="98">
        <f t="shared" si="156"/>
        <v>0</v>
      </c>
      <c r="S38" s="86">
        <f t="shared" si="157"/>
        <v>-50</v>
      </c>
      <c r="T38" s="86">
        <f t="shared" si="158"/>
        <v>-25</v>
      </c>
      <c r="U38" s="86">
        <f t="shared" si="159"/>
        <v>-75</v>
      </c>
      <c r="V38" s="90"/>
      <c r="W38" s="104">
        <f t="shared" si="101"/>
        <v>32.949308755760377</v>
      </c>
      <c r="X38" s="87">
        <f t="shared" si="102"/>
        <v>10.96640039681767</v>
      </c>
      <c r="Y38" s="87">
        <f t="shared" si="103"/>
        <v>3.004569189842996</v>
      </c>
      <c r="Z38" s="87">
        <f t="shared" si="104"/>
        <v>25</v>
      </c>
    </row>
    <row r="39" spans="1:26" x14ac:dyDescent="0.25">
      <c r="A39" s="140">
        <f t="shared" si="164"/>
        <v>45047</v>
      </c>
      <c r="B39" s="141">
        <f t="shared" si="109"/>
        <v>45077</v>
      </c>
      <c r="C39" s="142"/>
      <c r="D39" s="142" t="s">
        <v>121</v>
      </c>
      <c r="E39" s="154">
        <f t="shared" ref="E39" si="168">SUM(E35:E38)</f>
        <v>11</v>
      </c>
      <c r="F39" s="143" t="s">
        <v>120</v>
      </c>
      <c r="G39" s="154">
        <f t="shared" ref="G39" si="169">SUMPRODUCT(E35:E38,G35:G38)</f>
        <v>71</v>
      </c>
      <c r="H39" s="154">
        <f t="shared" ref="H39" si="170">SUMPRODUCT(E35:E38,H35:H38)</f>
        <v>-35</v>
      </c>
      <c r="I39" s="154">
        <f t="shared" ref="I39" si="171">SUMPRODUCT(E35:E38,I35:I38)</f>
        <v>-25.000000000000007</v>
      </c>
      <c r="J39" s="146">
        <f t="shared" si="93"/>
        <v>10.999999999999993</v>
      </c>
      <c r="K39" s="144">
        <f>IFERROR(AVERAGE($P$8:P39),0)</f>
        <v>0.47004608294930877</v>
      </c>
      <c r="L39" s="145"/>
      <c r="M39" s="146">
        <f t="shared" ref="M39" si="172">V34+G39</f>
        <v>198</v>
      </c>
      <c r="N39" s="147">
        <f t="shared" si="38"/>
        <v>100</v>
      </c>
      <c r="O39" s="148">
        <f t="shared" si="96"/>
        <v>98</v>
      </c>
      <c r="P39" s="155">
        <f t="shared" ref="P39" si="173">IFERROR(MIN(MAX(O39/-H39,0),1),0)</f>
        <v>1</v>
      </c>
      <c r="Q39" s="144">
        <f t="shared" si="50"/>
        <v>0</v>
      </c>
      <c r="R39" s="149">
        <f t="shared" ref="R39" si="174">Q39*H39</f>
        <v>0</v>
      </c>
      <c r="S39" s="150">
        <f t="shared" ref="S39" si="175">SUM(S35:S38)</f>
        <v>36</v>
      </c>
      <c r="T39" s="150">
        <f t="shared" ref="T39" si="176">SUM(T35:T38)</f>
        <v>-25</v>
      </c>
      <c r="U39" s="150">
        <f t="shared" ref="U39" si="177">SUM(U35:U38)</f>
        <v>11</v>
      </c>
      <c r="V39" s="151">
        <f t="shared" ref="V39" si="178">V34+S39</f>
        <v>163</v>
      </c>
      <c r="W39" s="152">
        <f t="shared" si="101"/>
        <v>0</v>
      </c>
      <c r="X39" s="153">
        <f t="shared" si="102"/>
        <v>10.96640039681767</v>
      </c>
      <c r="Y39" s="153">
        <f t="shared" si="103"/>
        <v>0</v>
      </c>
      <c r="Z39" s="149">
        <f t="shared" si="104"/>
        <v>25</v>
      </c>
    </row>
    <row r="40" spans="1:26" outlineLevel="1" x14ac:dyDescent="0.25">
      <c r="A40" s="91">
        <f t="shared" ref="A40" si="179">EDATE(A35,1)</f>
        <v>45078</v>
      </c>
      <c r="B40" s="39">
        <f t="shared" si="109"/>
        <v>45107</v>
      </c>
      <c r="C40" s="93" t="str">
        <f t="shared" ref="C40:D40" si="180">C35</f>
        <v>Clients</v>
      </c>
      <c r="D40" s="94" t="str">
        <f t="shared" si="180"/>
        <v>Revenues</v>
      </c>
      <c r="E40" s="164">
        <f>revenues_initial+revenues_growth*ROUND((A40-project_start)/30.25-1,0)</f>
        <v>150</v>
      </c>
      <c r="F40" s="36" t="str">
        <f>_xlfn.XLOOKUP($D40,contract_type[Type],contract_type[Nature])</f>
        <v>Commercial</v>
      </c>
      <c r="G40" s="36">
        <f>_xlfn.XLOOKUP($D40,contract_type[Type],contract_type[Cash, %])</f>
        <v>1</v>
      </c>
      <c r="H40" s="36">
        <f>_xlfn.XLOOKUP($D40,contract_type[Type],contract_type[Flex, %])</f>
        <v>0</v>
      </c>
      <c r="I40" s="36">
        <f>_xlfn.XLOOKUP($D40,contract_type[Type],contract_type[Credit, %])</f>
        <v>0</v>
      </c>
      <c r="J40" s="74">
        <f t="shared" si="93"/>
        <v>1</v>
      </c>
      <c r="K40" s="167">
        <f t="shared" si="94"/>
        <v>0.54365079365079361</v>
      </c>
      <c r="L40" s="38">
        <f t="shared" ref="L40:L43" si="181">ABS(H40)*($H$3+($I$3-$H$3)*(1-K40))+ABS(I40)*$I$3</f>
        <v>0</v>
      </c>
      <c r="M40" s="63"/>
      <c r="N40" s="88"/>
      <c r="O40" s="51">
        <f t="shared" si="96"/>
        <v>0</v>
      </c>
      <c r="P40" s="156">
        <f t="shared" si="49"/>
        <v>1</v>
      </c>
      <c r="Q40" s="35">
        <f t="shared" si="50"/>
        <v>0</v>
      </c>
      <c r="R40" s="97">
        <f t="shared" ref="R40:R43" si="182">IF(H40=0,0,Q40*H40*E40)</f>
        <v>0</v>
      </c>
      <c r="S40" s="34">
        <f t="shared" ref="S40:S43" si="183">$E40*(G40+IFERROR(H40*P40,0))</f>
        <v>150</v>
      </c>
      <c r="T40" s="34">
        <f t="shared" ref="T40:T43" si="184">U40-S40</f>
        <v>0</v>
      </c>
      <c r="U40" s="34">
        <f t="shared" ref="U40:U43" si="185">$E40*J40</f>
        <v>150</v>
      </c>
      <c r="V40" s="40"/>
      <c r="W40" s="103">
        <f t="shared" si="101"/>
        <v>0</v>
      </c>
      <c r="X40" s="37">
        <f t="shared" si="102"/>
        <v>11.176071673082745</v>
      </c>
      <c r="Y40" s="37">
        <f t="shared" si="103"/>
        <v>0</v>
      </c>
      <c r="Z40" s="37">
        <f t="shared" si="104"/>
        <v>0</v>
      </c>
    </row>
    <row r="41" spans="1:26" outlineLevel="1" x14ac:dyDescent="0.25">
      <c r="A41" s="76">
        <f t="shared" ref="A41" si="186">A40</f>
        <v>45078</v>
      </c>
      <c r="B41" s="39">
        <f t="shared" si="109"/>
        <v>45107</v>
      </c>
      <c r="C41" s="93" t="str">
        <f t="shared" ref="C41:E41" si="187">C36</f>
        <v>Landlord</v>
      </c>
      <c r="D41" s="94" t="str">
        <f t="shared" si="187"/>
        <v>Rent</v>
      </c>
      <c r="E41" s="165">
        <f t="shared" si="187"/>
        <v>-40</v>
      </c>
      <c r="F41" s="36" t="str">
        <f>_xlfn.XLOOKUP($D41,contract_type[Type],contract_type[Nature])</f>
        <v>Commercial</v>
      </c>
      <c r="G41" s="36">
        <f>_xlfn.XLOOKUP($D41,contract_type[Type],contract_type[Cash, %])</f>
        <v>0.75</v>
      </c>
      <c r="H41" s="36">
        <f>_xlfn.XLOOKUP($D41,contract_type[Type],contract_type[Flex, %])</f>
        <v>0.25</v>
      </c>
      <c r="I41" s="36">
        <f>_xlfn.XLOOKUP($D41,contract_type[Type],contract_type[Credit, %])</f>
        <v>0</v>
      </c>
      <c r="J41" s="74">
        <f t="shared" si="93"/>
        <v>1</v>
      </c>
      <c r="K41" s="167">
        <f t="shared" si="107"/>
        <v>0.54365079365079361</v>
      </c>
      <c r="L41" s="38">
        <f t="shared" si="181"/>
        <v>0.11845238095238098</v>
      </c>
      <c r="M41" s="63"/>
      <c r="N41" s="88"/>
      <c r="O41" s="51">
        <f t="shared" si="96"/>
        <v>0</v>
      </c>
      <c r="P41" s="156">
        <f t="shared" si="56"/>
        <v>1</v>
      </c>
      <c r="Q41" s="35">
        <f t="shared" si="50"/>
        <v>0</v>
      </c>
      <c r="R41" s="97">
        <f t="shared" si="182"/>
        <v>0</v>
      </c>
      <c r="S41" s="34">
        <f t="shared" si="183"/>
        <v>-40</v>
      </c>
      <c r="T41" s="34">
        <f t="shared" si="184"/>
        <v>0</v>
      </c>
      <c r="U41" s="34">
        <f t="shared" si="185"/>
        <v>-40</v>
      </c>
      <c r="V41" s="40"/>
      <c r="W41" s="103">
        <f t="shared" si="101"/>
        <v>4.738095238095239</v>
      </c>
      <c r="X41" s="37">
        <f t="shared" si="102"/>
        <v>11.176071673082745</v>
      </c>
      <c r="Y41" s="37">
        <f t="shared" si="103"/>
        <v>0.42394996888815667</v>
      </c>
      <c r="Z41" s="37">
        <f t="shared" si="104"/>
        <v>0</v>
      </c>
    </row>
    <row r="42" spans="1:26" outlineLevel="1" x14ac:dyDescent="0.25">
      <c r="A42" s="76">
        <f t="shared" ref="A42" si="188">A40</f>
        <v>45078</v>
      </c>
      <c r="B42" s="39">
        <f t="shared" si="109"/>
        <v>45107</v>
      </c>
      <c r="C42" s="93" t="str">
        <f t="shared" ref="C42:D42" si="189">C37</f>
        <v>Suppliers</v>
      </c>
      <c r="D42" s="94" t="str">
        <f t="shared" si="189"/>
        <v>Groceries</v>
      </c>
      <c r="E42" s="163">
        <f>E40*-groceries_pc</f>
        <v>-15</v>
      </c>
      <c r="F42" s="36" t="str">
        <f>_xlfn.XLOOKUP($D42,contract_type[Type],contract_type[Nature])</f>
        <v>Commercial</v>
      </c>
      <c r="G42" s="36">
        <f>_xlfn.XLOOKUP($D42,contract_type[Type],contract_type[Cash, %])</f>
        <v>1</v>
      </c>
      <c r="H42" s="36">
        <f>_xlfn.XLOOKUP($D42,contract_type[Type],contract_type[Flex, %])</f>
        <v>0</v>
      </c>
      <c r="I42" s="36">
        <f>_xlfn.XLOOKUP($D42,contract_type[Type],contract_type[Credit, %])</f>
        <v>0</v>
      </c>
      <c r="J42" s="74">
        <f t="shared" si="93"/>
        <v>1</v>
      </c>
      <c r="K42" s="167">
        <f t="shared" si="111"/>
        <v>0.54365079365079361</v>
      </c>
      <c r="L42" s="38">
        <f t="shared" si="181"/>
        <v>0</v>
      </c>
      <c r="M42" s="63"/>
      <c r="N42" s="88"/>
      <c r="O42" s="51">
        <f t="shared" si="96"/>
        <v>0</v>
      </c>
      <c r="P42" s="156">
        <f t="shared" si="59"/>
        <v>1</v>
      </c>
      <c r="Q42" s="35">
        <f t="shared" si="50"/>
        <v>0</v>
      </c>
      <c r="R42" s="97">
        <f t="shared" si="182"/>
        <v>0</v>
      </c>
      <c r="S42" s="34">
        <f t="shared" si="183"/>
        <v>-15</v>
      </c>
      <c r="T42" s="34">
        <f t="shared" si="184"/>
        <v>0</v>
      </c>
      <c r="U42" s="34">
        <f t="shared" si="185"/>
        <v>-15</v>
      </c>
      <c r="V42" s="40"/>
      <c r="W42" s="103">
        <f t="shared" si="101"/>
        <v>0</v>
      </c>
      <c r="X42" s="37">
        <f t="shared" si="102"/>
        <v>11.176071673082745</v>
      </c>
      <c r="Y42" s="37">
        <f t="shared" si="103"/>
        <v>0</v>
      </c>
      <c r="Z42" s="37">
        <f t="shared" si="104"/>
        <v>0</v>
      </c>
    </row>
    <row r="43" spans="1:26" outlineLevel="1" x14ac:dyDescent="0.25">
      <c r="A43" s="77">
        <f t="shared" ref="A43:A44" si="190">A40</f>
        <v>45078</v>
      </c>
      <c r="B43" s="92">
        <f t="shared" si="109"/>
        <v>45107</v>
      </c>
      <c r="C43" s="95" t="str">
        <f t="shared" ref="C43:E43" si="191">C38</f>
        <v>Alphonse</v>
      </c>
      <c r="D43" s="96" t="str">
        <f t="shared" si="191"/>
        <v>Work</v>
      </c>
      <c r="E43" s="166">
        <f t="shared" si="191"/>
        <v>-75</v>
      </c>
      <c r="F43" s="80" t="str">
        <f>_xlfn.XLOOKUP($D43,contract_type[Type],contract_type[Nature])</f>
        <v>Commercial</v>
      </c>
      <c r="G43" s="80">
        <f>_xlfn.XLOOKUP($D43,contract_type[Type],contract_type[Cash, %])</f>
        <v>0.33333333333333331</v>
      </c>
      <c r="H43" s="80">
        <f>_xlfn.XLOOKUP($D43,contract_type[Type],contract_type[Flex, %])</f>
        <v>0.33333333333333331</v>
      </c>
      <c r="I43" s="80">
        <f>_xlfn.XLOOKUP($D43,contract_type[Type],contract_type[Credit, %])</f>
        <v>0.33333333333333343</v>
      </c>
      <c r="J43" s="81">
        <f t="shared" si="93"/>
        <v>1</v>
      </c>
      <c r="K43" s="168">
        <f t="shared" ref="K43" si="192">K44</f>
        <v>0.54365079365079361</v>
      </c>
      <c r="L43" s="82">
        <f t="shared" si="181"/>
        <v>0.42460317460317476</v>
      </c>
      <c r="M43" s="83"/>
      <c r="N43" s="89"/>
      <c r="O43" s="84">
        <f t="shared" si="96"/>
        <v>0</v>
      </c>
      <c r="P43" s="157">
        <f t="shared" ref="P43" si="193">P44</f>
        <v>1</v>
      </c>
      <c r="Q43" s="85">
        <f t="shared" si="50"/>
        <v>0</v>
      </c>
      <c r="R43" s="98">
        <f t="shared" si="182"/>
        <v>0</v>
      </c>
      <c r="S43" s="86">
        <f t="shared" si="183"/>
        <v>-50</v>
      </c>
      <c r="T43" s="86">
        <f t="shared" si="184"/>
        <v>-25</v>
      </c>
      <c r="U43" s="86">
        <f t="shared" si="185"/>
        <v>-75</v>
      </c>
      <c r="V43" s="90"/>
      <c r="W43" s="104">
        <f t="shared" si="101"/>
        <v>31.845238095238106</v>
      </c>
      <c r="X43" s="87">
        <f t="shared" si="102"/>
        <v>11.176071673082745</v>
      </c>
      <c r="Y43" s="87">
        <f t="shared" si="103"/>
        <v>2.8494124793362294</v>
      </c>
      <c r="Z43" s="87">
        <f t="shared" si="104"/>
        <v>25</v>
      </c>
    </row>
    <row r="44" spans="1:26" x14ac:dyDescent="0.25">
      <c r="A44" s="140">
        <f t="shared" si="190"/>
        <v>45078</v>
      </c>
      <c r="B44" s="141">
        <f t="shared" si="109"/>
        <v>45107</v>
      </c>
      <c r="C44" s="142"/>
      <c r="D44" s="142" t="s">
        <v>121</v>
      </c>
      <c r="E44" s="154">
        <f t="shared" ref="E44" si="194">SUM(E40:E43)</f>
        <v>20</v>
      </c>
      <c r="F44" s="143" t="s">
        <v>120</v>
      </c>
      <c r="G44" s="154">
        <f t="shared" ref="G44" si="195">SUMPRODUCT(E40:E43,G40:G43)</f>
        <v>80</v>
      </c>
      <c r="H44" s="154">
        <f t="shared" ref="H44" si="196">SUMPRODUCT(E40:E43,H40:H43)</f>
        <v>-35</v>
      </c>
      <c r="I44" s="154">
        <f t="shared" ref="I44" si="197">SUMPRODUCT(E40:E43,I40:I43)</f>
        <v>-25.000000000000007</v>
      </c>
      <c r="J44" s="146">
        <f t="shared" si="93"/>
        <v>19.999999999999993</v>
      </c>
      <c r="K44" s="144">
        <f>IFERROR(AVERAGE($P$8:P44),0)</f>
        <v>0.54365079365079361</v>
      </c>
      <c r="L44" s="145"/>
      <c r="M44" s="146">
        <f t="shared" ref="M44" si="198">V39+G44</f>
        <v>243</v>
      </c>
      <c r="N44" s="147">
        <f t="shared" si="38"/>
        <v>100</v>
      </c>
      <c r="O44" s="148">
        <f t="shared" si="96"/>
        <v>143</v>
      </c>
      <c r="P44" s="155">
        <f t="shared" ref="P44" si="199">IFERROR(MIN(MAX(O44/-H44,0),1),0)</f>
        <v>1</v>
      </c>
      <c r="Q44" s="144">
        <f t="shared" si="50"/>
        <v>0</v>
      </c>
      <c r="R44" s="149">
        <f t="shared" ref="R44" si="200">Q44*H44</f>
        <v>0</v>
      </c>
      <c r="S44" s="150">
        <f t="shared" ref="S44" si="201">SUM(S40:S43)</f>
        <v>45</v>
      </c>
      <c r="T44" s="150">
        <f t="shared" ref="T44" si="202">SUM(T40:T43)</f>
        <v>-25</v>
      </c>
      <c r="U44" s="150">
        <f t="shared" ref="U44" si="203">SUM(U40:U43)</f>
        <v>20</v>
      </c>
      <c r="V44" s="151">
        <f t="shared" ref="V44" si="204">V39+S44</f>
        <v>208</v>
      </c>
      <c r="W44" s="152">
        <f t="shared" si="101"/>
        <v>0</v>
      </c>
      <c r="X44" s="153">
        <f t="shared" si="102"/>
        <v>11.176071673082745</v>
      </c>
      <c r="Y44" s="153">
        <f t="shared" si="103"/>
        <v>0</v>
      </c>
      <c r="Z44" s="149">
        <f t="shared" si="104"/>
        <v>25</v>
      </c>
    </row>
    <row r="45" spans="1:26" outlineLevel="1" x14ac:dyDescent="0.25">
      <c r="A45" s="91">
        <f t="shared" ref="A45" si="205">EDATE(A40,1)</f>
        <v>45108</v>
      </c>
      <c r="B45" s="39">
        <f t="shared" si="109"/>
        <v>45138</v>
      </c>
      <c r="C45" s="93" t="str">
        <f t="shared" ref="C45:D45" si="206">C40</f>
        <v>Clients</v>
      </c>
      <c r="D45" s="94" t="str">
        <f t="shared" si="206"/>
        <v>Revenues</v>
      </c>
      <c r="E45" s="164">
        <f>revenues_initial+revenues_growth*ROUND((A45-project_start)/30.25-1,0)</f>
        <v>160</v>
      </c>
      <c r="F45" s="36" t="str">
        <f>_xlfn.XLOOKUP($D45,contract_type[Type],contract_type[Nature])</f>
        <v>Commercial</v>
      </c>
      <c r="G45" s="36">
        <f>_xlfn.XLOOKUP($D45,contract_type[Type],contract_type[Cash, %])</f>
        <v>1</v>
      </c>
      <c r="H45" s="36">
        <f>_xlfn.XLOOKUP($D45,contract_type[Type],contract_type[Flex, %])</f>
        <v>0</v>
      </c>
      <c r="I45" s="36">
        <f>_xlfn.XLOOKUP($D45,contract_type[Type],contract_type[Credit, %])</f>
        <v>0</v>
      </c>
      <c r="J45" s="74">
        <f t="shared" si="93"/>
        <v>1</v>
      </c>
      <c r="K45" s="167">
        <f t="shared" si="94"/>
        <v>0.5993031358885017</v>
      </c>
      <c r="L45" s="38">
        <f t="shared" ref="L45:L48" si="207">ABS(H45)*($H$3+($I$3-$H$3)*(1-K45))+ABS(I45)*$I$3</f>
        <v>0</v>
      </c>
      <c r="M45" s="63"/>
      <c r="N45" s="88"/>
      <c r="O45" s="51">
        <f t="shared" si="96"/>
        <v>0</v>
      </c>
      <c r="P45" s="156">
        <f t="shared" si="49"/>
        <v>1</v>
      </c>
      <c r="Q45" s="35">
        <f t="shared" si="50"/>
        <v>0</v>
      </c>
      <c r="R45" s="97">
        <f t="shared" ref="R45:R48" si="208">IF(H45=0,0,Q45*H45*E45)</f>
        <v>0</v>
      </c>
      <c r="S45" s="34">
        <f t="shared" ref="S45:S48" si="209">$E45*(G45+IFERROR(H45*P45,0))</f>
        <v>160</v>
      </c>
      <c r="T45" s="34">
        <f t="shared" ref="T45:T48" si="210">U45-S45</f>
        <v>0</v>
      </c>
      <c r="U45" s="34">
        <f t="shared" ref="U45:U48" si="211">$E45*J45</f>
        <v>160</v>
      </c>
      <c r="V45" s="40"/>
      <c r="W45" s="103">
        <f t="shared" si="101"/>
        <v>0</v>
      </c>
      <c r="X45" s="37">
        <f t="shared" si="102"/>
        <v>11.382795485116395</v>
      </c>
      <c r="Y45" s="37">
        <f t="shared" si="103"/>
        <v>0</v>
      </c>
      <c r="Z45" s="37">
        <f t="shared" si="104"/>
        <v>0</v>
      </c>
    </row>
    <row r="46" spans="1:26" outlineLevel="1" x14ac:dyDescent="0.25">
      <c r="A46" s="76">
        <f t="shared" ref="A46" si="212">A45</f>
        <v>45108</v>
      </c>
      <c r="B46" s="39">
        <f t="shared" si="109"/>
        <v>45138</v>
      </c>
      <c r="C46" s="93" t="str">
        <f t="shared" ref="C46:E46" si="213">C41</f>
        <v>Landlord</v>
      </c>
      <c r="D46" s="94" t="str">
        <f t="shared" si="213"/>
        <v>Rent</v>
      </c>
      <c r="E46" s="165">
        <f t="shared" si="213"/>
        <v>-40</v>
      </c>
      <c r="F46" s="36" t="str">
        <f>_xlfn.XLOOKUP($D46,contract_type[Type],contract_type[Nature])</f>
        <v>Commercial</v>
      </c>
      <c r="G46" s="36">
        <f>_xlfn.XLOOKUP($D46,contract_type[Type],contract_type[Cash, %])</f>
        <v>0.75</v>
      </c>
      <c r="H46" s="36">
        <f>_xlfn.XLOOKUP($D46,contract_type[Type],contract_type[Flex, %])</f>
        <v>0.25</v>
      </c>
      <c r="I46" s="36">
        <f>_xlfn.XLOOKUP($D46,contract_type[Type],contract_type[Credit, %])</f>
        <v>0</v>
      </c>
      <c r="J46" s="74">
        <f t="shared" si="93"/>
        <v>1</v>
      </c>
      <c r="K46" s="167">
        <f t="shared" si="107"/>
        <v>0.5993031358885017</v>
      </c>
      <c r="L46" s="38">
        <f t="shared" si="207"/>
        <v>0.11010452961672476</v>
      </c>
      <c r="M46" s="63"/>
      <c r="N46" s="88"/>
      <c r="O46" s="51">
        <f t="shared" si="96"/>
        <v>0</v>
      </c>
      <c r="P46" s="156">
        <f t="shared" si="56"/>
        <v>1</v>
      </c>
      <c r="Q46" s="35">
        <f t="shared" si="50"/>
        <v>0</v>
      </c>
      <c r="R46" s="97">
        <f t="shared" si="208"/>
        <v>0</v>
      </c>
      <c r="S46" s="34">
        <f t="shared" si="209"/>
        <v>-40</v>
      </c>
      <c r="T46" s="34">
        <f t="shared" si="210"/>
        <v>0</v>
      </c>
      <c r="U46" s="34">
        <f t="shared" si="211"/>
        <v>-40</v>
      </c>
      <c r="V46" s="40"/>
      <c r="W46" s="103">
        <f t="shared" si="101"/>
        <v>4.4041811846689907</v>
      </c>
      <c r="X46" s="37">
        <f t="shared" si="102"/>
        <v>11.382795485116395</v>
      </c>
      <c r="Y46" s="37">
        <f t="shared" si="103"/>
        <v>0.38691560350246912</v>
      </c>
      <c r="Z46" s="37">
        <f t="shared" si="104"/>
        <v>0</v>
      </c>
    </row>
    <row r="47" spans="1:26" outlineLevel="1" x14ac:dyDescent="0.25">
      <c r="A47" s="76">
        <f t="shared" ref="A47" si="214">A45</f>
        <v>45108</v>
      </c>
      <c r="B47" s="39">
        <f t="shared" si="109"/>
        <v>45138</v>
      </c>
      <c r="C47" s="93" t="str">
        <f t="shared" ref="C47:D47" si="215">C42</f>
        <v>Suppliers</v>
      </c>
      <c r="D47" s="94" t="str">
        <f t="shared" si="215"/>
        <v>Groceries</v>
      </c>
      <c r="E47" s="163">
        <f>E45*-groceries_pc</f>
        <v>-16</v>
      </c>
      <c r="F47" s="36" t="str">
        <f>_xlfn.XLOOKUP($D47,contract_type[Type],contract_type[Nature])</f>
        <v>Commercial</v>
      </c>
      <c r="G47" s="36">
        <f>_xlfn.XLOOKUP($D47,contract_type[Type],contract_type[Cash, %])</f>
        <v>1</v>
      </c>
      <c r="H47" s="36">
        <f>_xlfn.XLOOKUP($D47,contract_type[Type],contract_type[Flex, %])</f>
        <v>0</v>
      </c>
      <c r="I47" s="36">
        <f>_xlfn.XLOOKUP($D47,contract_type[Type],contract_type[Credit, %])</f>
        <v>0</v>
      </c>
      <c r="J47" s="74">
        <f t="shared" si="93"/>
        <v>1</v>
      </c>
      <c r="K47" s="167">
        <f t="shared" si="111"/>
        <v>0.5993031358885017</v>
      </c>
      <c r="L47" s="38">
        <f t="shared" si="207"/>
        <v>0</v>
      </c>
      <c r="M47" s="63"/>
      <c r="N47" s="88"/>
      <c r="O47" s="51">
        <f t="shared" si="96"/>
        <v>0</v>
      </c>
      <c r="P47" s="156">
        <f t="shared" si="59"/>
        <v>1</v>
      </c>
      <c r="Q47" s="35">
        <f t="shared" si="50"/>
        <v>0</v>
      </c>
      <c r="R47" s="97">
        <f t="shared" si="208"/>
        <v>0</v>
      </c>
      <c r="S47" s="34">
        <f t="shared" si="209"/>
        <v>-16</v>
      </c>
      <c r="T47" s="34">
        <f t="shared" si="210"/>
        <v>0</v>
      </c>
      <c r="U47" s="34">
        <f t="shared" si="211"/>
        <v>-16</v>
      </c>
      <c r="V47" s="40"/>
      <c r="W47" s="103">
        <f t="shared" si="101"/>
        <v>0</v>
      </c>
      <c r="X47" s="37">
        <f t="shared" si="102"/>
        <v>11.382795485116395</v>
      </c>
      <c r="Y47" s="37">
        <f t="shared" si="103"/>
        <v>0</v>
      </c>
      <c r="Z47" s="37">
        <f t="shared" si="104"/>
        <v>0</v>
      </c>
    </row>
    <row r="48" spans="1:26" outlineLevel="1" x14ac:dyDescent="0.25">
      <c r="A48" s="77">
        <f t="shared" ref="A48:A49" si="216">A45</f>
        <v>45108</v>
      </c>
      <c r="B48" s="92">
        <f t="shared" si="109"/>
        <v>45138</v>
      </c>
      <c r="C48" s="95" t="str">
        <f t="shared" ref="C48:E48" si="217">C43</f>
        <v>Alphonse</v>
      </c>
      <c r="D48" s="96" t="str">
        <f t="shared" si="217"/>
        <v>Work</v>
      </c>
      <c r="E48" s="166">
        <f t="shared" si="217"/>
        <v>-75</v>
      </c>
      <c r="F48" s="80" t="str">
        <f>_xlfn.XLOOKUP($D48,contract_type[Type],contract_type[Nature])</f>
        <v>Commercial</v>
      </c>
      <c r="G48" s="80">
        <f>_xlfn.XLOOKUP($D48,contract_type[Type],contract_type[Cash, %])</f>
        <v>0.33333333333333331</v>
      </c>
      <c r="H48" s="80">
        <f>_xlfn.XLOOKUP($D48,contract_type[Type],contract_type[Flex, %])</f>
        <v>0.33333333333333331</v>
      </c>
      <c r="I48" s="80">
        <f>_xlfn.XLOOKUP($D48,contract_type[Type],contract_type[Credit, %])</f>
        <v>0.33333333333333343</v>
      </c>
      <c r="J48" s="81">
        <f t="shared" si="93"/>
        <v>1</v>
      </c>
      <c r="K48" s="168">
        <f t="shared" ref="K48" si="218">K49</f>
        <v>0.5993031358885017</v>
      </c>
      <c r="L48" s="82">
        <f t="shared" si="207"/>
        <v>0.41347270615563314</v>
      </c>
      <c r="M48" s="83"/>
      <c r="N48" s="89"/>
      <c r="O48" s="84">
        <f t="shared" si="96"/>
        <v>0</v>
      </c>
      <c r="P48" s="157">
        <f t="shared" ref="P48" si="219">P49</f>
        <v>1</v>
      </c>
      <c r="Q48" s="85">
        <f t="shared" si="50"/>
        <v>0</v>
      </c>
      <c r="R48" s="98">
        <f t="shared" si="208"/>
        <v>0</v>
      </c>
      <c r="S48" s="86">
        <f t="shared" si="209"/>
        <v>-50</v>
      </c>
      <c r="T48" s="86">
        <f t="shared" si="210"/>
        <v>-25</v>
      </c>
      <c r="U48" s="86">
        <f t="shared" si="211"/>
        <v>-75</v>
      </c>
      <c r="V48" s="90"/>
      <c r="W48" s="104">
        <f t="shared" si="101"/>
        <v>31.010452961672485</v>
      </c>
      <c r="X48" s="87">
        <f t="shared" si="102"/>
        <v>11.382795485116395</v>
      </c>
      <c r="Y48" s="87">
        <f t="shared" si="103"/>
        <v>2.7243266385854237</v>
      </c>
      <c r="Z48" s="87">
        <f t="shared" si="104"/>
        <v>25</v>
      </c>
    </row>
    <row r="49" spans="1:26" x14ac:dyDescent="0.25">
      <c r="A49" s="140">
        <f t="shared" si="216"/>
        <v>45108</v>
      </c>
      <c r="B49" s="141">
        <f t="shared" si="109"/>
        <v>45138</v>
      </c>
      <c r="C49" s="142"/>
      <c r="D49" s="142" t="s">
        <v>121</v>
      </c>
      <c r="E49" s="154">
        <f t="shared" ref="E49" si="220">SUM(E45:E48)</f>
        <v>29</v>
      </c>
      <c r="F49" s="143" t="s">
        <v>120</v>
      </c>
      <c r="G49" s="154">
        <f t="shared" ref="G49" si="221">SUMPRODUCT(E45:E48,G45:G48)</f>
        <v>89</v>
      </c>
      <c r="H49" s="154">
        <f t="shared" ref="H49" si="222">SUMPRODUCT(E45:E48,H45:H48)</f>
        <v>-35</v>
      </c>
      <c r="I49" s="154">
        <f t="shared" ref="I49" si="223">SUMPRODUCT(E45:E48,I45:I48)</f>
        <v>-25.000000000000007</v>
      </c>
      <c r="J49" s="146">
        <f t="shared" si="93"/>
        <v>28.999999999999993</v>
      </c>
      <c r="K49" s="144">
        <f>IFERROR(AVERAGE($P$8:P49),0)</f>
        <v>0.5993031358885017</v>
      </c>
      <c r="L49" s="145"/>
      <c r="M49" s="146">
        <f t="shared" ref="M49" si="224">V44+G49</f>
        <v>297</v>
      </c>
      <c r="N49" s="147">
        <f t="shared" si="38"/>
        <v>100</v>
      </c>
      <c r="O49" s="148">
        <f t="shared" si="96"/>
        <v>197</v>
      </c>
      <c r="P49" s="155">
        <f t="shared" ref="P49" si="225">IFERROR(MIN(MAX(O49/-H49,0),1),0)</f>
        <v>1</v>
      </c>
      <c r="Q49" s="144">
        <f t="shared" si="50"/>
        <v>0</v>
      </c>
      <c r="R49" s="149">
        <f t="shared" ref="R49" si="226">Q49*H49</f>
        <v>0</v>
      </c>
      <c r="S49" s="150">
        <f t="shared" ref="S49" si="227">SUM(S45:S48)</f>
        <v>54</v>
      </c>
      <c r="T49" s="150">
        <f t="shared" ref="T49" si="228">SUM(T45:T48)</f>
        <v>-25</v>
      </c>
      <c r="U49" s="150">
        <f t="shared" ref="U49" si="229">SUM(U45:U48)</f>
        <v>29</v>
      </c>
      <c r="V49" s="151">
        <f t="shared" ref="V49" si="230">V44+S49</f>
        <v>262</v>
      </c>
      <c r="W49" s="152">
        <f t="shared" si="101"/>
        <v>0</v>
      </c>
      <c r="X49" s="153">
        <f t="shared" si="102"/>
        <v>11.382795485116395</v>
      </c>
      <c r="Y49" s="153">
        <f t="shared" si="103"/>
        <v>0</v>
      </c>
      <c r="Z49" s="149">
        <f t="shared" si="104"/>
        <v>25</v>
      </c>
    </row>
    <row r="50" spans="1:26" outlineLevel="1" x14ac:dyDescent="0.25">
      <c r="A50" s="91">
        <f t="shared" ref="A50" si="231">EDATE(A45,1)</f>
        <v>45139</v>
      </c>
      <c r="B50" s="39">
        <f t="shared" si="109"/>
        <v>45169</v>
      </c>
      <c r="C50" s="93" t="str">
        <f t="shared" ref="C50:D50" si="232">C45</f>
        <v>Clients</v>
      </c>
      <c r="D50" s="94" t="str">
        <f t="shared" si="232"/>
        <v>Revenues</v>
      </c>
      <c r="E50" s="164">
        <f>revenues_initial+revenues_growth*ROUND((A50-project_start)/30.25-1,0)</f>
        <v>170</v>
      </c>
      <c r="F50" s="36" t="str">
        <f>_xlfn.XLOOKUP($D50,contract_type[Type],contract_type[Nature])</f>
        <v>Commercial</v>
      </c>
      <c r="G50" s="36">
        <f>_xlfn.XLOOKUP($D50,contract_type[Type],contract_type[Cash, %])</f>
        <v>1</v>
      </c>
      <c r="H50" s="36">
        <f>_xlfn.XLOOKUP($D50,contract_type[Type],contract_type[Flex, %])</f>
        <v>0</v>
      </c>
      <c r="I50" s="36">
        <f>_xlfn.XLOOKUP($D50,contract_type[Type],contract_type[Credit, %])</f>
        <v>0</v>
      </c>
      <c r="J50" s="74">
        <f t="shared" si="93"/>
        <v>1</v>
      </c>
      <c r="K50" s="167">
        <f t="shared" si="94"/>
        <v>0.64285714285714279</v>
      </c>
      <c r="L50" s="38">
        <f t="shared" ref="L50:L53" si="233">ABS(H50)*($H$3+($I$3-$H$3)*(1-K50))+ABS(I50)*$I$3</f>
        <v>0</v>
      </c>
      <c r="M50" s="63"/>
      <c r="N50" s="88"/>
      <c r="O50" s="51">
        <f t="shared" si="96"/>
        <v>0</v>
      </c>
      <c r="P50" s="156">
        <f t="shared" si="49"/>
        <v>1</v>
      </c>
      <c r="Q50" s="35">
        <f t="shared" si="50"/>
        <v>0</v>
      </c>
      <c r="R50" s="97">
        <f t="shared" ref="R50:R53" si="234">IF(H50=0,0,Q50*H50*E50)</f>
        <v>0</v>
      </c>
      <c r="S50" s="34">
        <f t="shared" ref="S50:S53" si="235">$E50*(G50+IFERROR(H50*P50,0))</f>
        <v>170</v>
      </c>
      <c r="T50" s="34">
        <f t="shared" ref="T50:T53" si="236">U50-S50</f>
        <v>0</v>
      </c>
      <c r="U50" s="34">
        <f t="shared" ref="U50:U53" si="237">$E50*J50</f>
        <v>170</v>
      </c>
      <c r="V50" s="40"/>
      <c r="W50" s="103">
        <f t="shared" si="101"/>
        <v>0</v>
      </c>
      <c r="X50" s="37">
        <f t="shared" si="102"/>
        <v>11.600427996283983</v>
      </c>
      <c r="Y50" s="37">
        <f t="shared" si="103"/>
        <v>0</v>
      </c>
      <c r="Z50" s="37">
        <f t="shared" si="104"/>
        <v>0</v>
      </c>
    </row>
    <row r="51" spans="1:26" outlineLevel="1" x14ac:dyDescent="0.25">
      <c r="A51" s="76">
        <f t="shared" ref="A51" si="238">A50</f>
        <v>45139</v>
      </c>
      <c r="B51" s="39">
        <f t="shared" si="109"/>
        <v>45169</v>
      </c>
      <c r="C51" s="93" t="str">
        <f t="shared" ref="C51:E51" si="239">C46</f>
        <v>Landlord</v>
      </c>
      <c r="D51" s="94" t="str">
        <f t="shared" si="239"/>
        <v>Rent</v>
      </c>
      <c r="E51" s="165">
        <f t="shared" si="239"/>
        <v>-40</v>
      </c>
      <c r="F51" s="36" t="str">
        <f>_xlfn.XLOOKUP($D51,contract_type[Type],contract_type[Nature])</f>
        <v>Commercial</v>
      </c>
      <c r="G51" s="36">
        <f>_xlfn.XLOOKUP($D51,contract_type[Type],contract_type[Cash, %])</f>
        <v>0.75</v>
      </c>
      <c r="H51" s="36">
        <f>_xlfn.XLOOKUP($D51,contract_type[Type],contract_type[Flex, %])</f>
        <v>0.25</v>
      </c>
      <c r="I51" s="36">
        <f>_xlfn.XLOOKUP($D51,contract_type[Type],contract_type[Credit, %])</f>
        <v>0</v>
      </c>
      <c r="J51" s="74">
        <f t="shared" si="93"/>
        <v>1</v>
      </c>
      <c r="K51" s="167">
        <f t="shared" si="107"/>
        <v>0.64285714285714279</v>
      </c>
      <c r="L51" s="38">
        <f t="shared" si="233"/>
        <v>0.10357142857142859</v>
      </c>
      <c r="M51" s="63"/>
      <c r="N51" s="88"/>
      <c r="O51" s="51">
        <f t="shared" si="96"/>
        <v>0</v>
      </c>
      <c r="P51" s="156">
        <f t="shared" si="56"/>
        <v>1</v>
      </c>
      <c r="Q51" s="35">
        <f t="shared" si="50"/>
        <v>0</v>
      </c>
      <c r="R51" s="97">
        <f t="shared" si="234"/>
        <v>0</v>
      </c>
      <c r="S51" s="34">
        <f t="shared" si="235"/>
        <v>-40</v>
      </c>
      <c r="T51" s="34">
        <f t="shared" si="236"/>
        <v>0</v>
      </c>
      <c r="U51" s="34">
        <f t="shared" si="237"/>
        <v>-40</v>
      </c>
      <c r="V51" s="40"/>
      <c r="W51" s="103">
        <f t="shared" si="101"/>
        <v>4.1428571428571441</v>
      </c>
      <c r="X51" s="37">
        <f t="shared" si="102"/>
        <v>11.600427996283983</v>
      </c>
      <c r="Y51" s="37">
        <f t="shared" si="103"/>
        <v>0.35712968040353721</v>
      </c>
      <c r="Z51" s="37">
        <f t="shared" si="104"/>
        <v>0</v>
      </c>
    </row>
    <row r="52" spans="1:26" outlineLevel="1" x14ac:dyDescent="0.25">
      <c r="A52" s="76">
        <f t="shared" ref="A52" si="240">A50</f>
        <v>45139</v>
      </c>
      <c r="B52" s="39">
        <f t="shared" si="109"/>
        <v>45169</v>
      </c>
      <c r="C52" s="93" t="str">
        <f t="shared" ref="C52:D52" si="241">C47</f>
        <v>Suppliers</v>
      </c>
      <c r="D52" s="94" t="str">
        <f t="shared" si="241"/>
        <v>Groceries</v>
      </c>
      <c r="E52" s="163">
        <f>E50*-groceries_pc</f>
        <v>-17</v>
      </c>
      <c r="F52" s="36" t="str">
        <f>_xlfn.XLOOKUP($D52,contract_type[Type],contract_type[Nature])</f>
        <v>Commercial</v>
      </c>
      <c r="G52" s="36">
        <f>_xlfn.XLOOKUP($D52,contract_type[Type],contract_type[Cash, %])</f>
        <v>1</v>
      </c>
      <c r="H52" s="36">
        <f>_xlfn.XLOOKUP($D52,contract_type[Type],contract_type[Flex, %])</f>
        <v>0</v>
      </c>
      <c r="I52" s="36">
        <f>_xlfn.XLOOKUP($D52,contract_type[Type],contract_type[Credit, %])</f>
        <v>0</v>
      </c>
      <c r="J52" s="74">
        <f t="shared" si="93"/>
        <v>1</v>
      </c>
      <c r="K52" s="167">
        <f t="shared" si="111"/>
        <v>0.64285714285714279</v>
      </c>
      <c r="L52" s="38">
        <f t="shared" si="233"/>
        <v>0</v>
      </c>
      <c r="M52" s="63"/>
      <c r="N52" s="88"/>
      <c r="O52" s="51">
        <f t="shared" si="96"/>
        <v>0</v>
      </c>
      <c r="P52" s="156">
        <f t="shared" si="59"/>
        <v>1</v>
      </c>
      <c r="Q52" s="35">
        <f t="shared" si="50"/>
        <v>0</v>
      </c>
      <c r="R52" s="97">
        <f t="shared" si="234"/>
        <v>0</v>
      </c>
      <c r="S52" s="34">
        <f t="shared" si="235"/>
        <v>-17</v>
      </c>
      <c r="T52" s="34">
        <f t="shared" si="236"/>
        <v>0</v>
      </c>
      <c r="U52" s="34">
        <f t="shared" si="237"/>
        <v>-17</v>
      </c>
      <c r="V52" s="40"/>
      <c r="W52" s="103">
        <f t="shared" si="101"/>
        <v>0</v>
      </c>
      <c r="X52" s="37">
        <f t="shared" si="102"/>
        <v>11.600427996283983</v>
      </c>
      <c r="Y52" s="37">
        <f t="shared" si="103"/>
        <v>0</v>
      </c>
      <c r="Z52" s="37">
        <f t="shared" si="104"/>
        <v>0</v>
      </c>
    </row>
    <row r="53" spans="1:26" outlineLevel="1" x14ac:dyDescent="0.25">
      <c r="A53" s="77">
        <f t="shared" ref="A53:A54" si="242">A50</f>
        <v>45139</v>
      </c>
      <c r="B53" s="92">
        <f t="shared" si="109"/>
        <v>45169</v>
      </c>
      <c r="C53" s="95" t="str">
        <f t="shared" ref="C53:E53" si="243">C48</f>
        <v>Alphonse</v>
      </c>
      <c r="D53" s="96" t="str">
        <f t="shared" si="243"/>
        <v>Work</v>
      </c>
      <c r="E53" s="166">
        <f t="shared" si="243"/>
        <v>-75</v>
      </c>
      <c r="F53" s="80" t="str">
        <f>_xlfn.XLOOKUP($D53,contract_type[Type],contract_type[Nature])</f>
        <v>Commercial</v>
      </c>
      <c r="G53" s="80">
        <f>_xlfn.XLOOKUP($D53,contract_type[Type],contract_type[Cash, %])</f>
        <v>0.33333333333333331</v>
      </c>
      <c r="H53" s="80">
        <f>_xlfn.XLOOKUP($D53,contract_type[Type],contract_type[Flex, %])</f>
        <v>0.33333333333333331</v>
      </c>
      <c r="I53" s="80">
        <f>_xlfn.XLOOKUP($D53,contract_type[Type],contract_type[Credit, %])</f>
        <v>0.33333333333333343</v>
      </c>
      <c r="J53" s="81">
        <f t="shared" si="93"/>
        <v>1</v>
      </c>
      <c r="K53" s="168">
        <f t="shared" ref="K53" si="244">K54</f>
        <v>0.64285714285714279</v>
      </c>
      <c r="L53" s="82">
        <f t="shared" si="233"/>
        <v>0.40476190476190488</v>
      </c>
      <c r="M53" s="83"/>
      <c r="N53" s="89"/>
      <c r="O53" s="84">
        <f t="shared" si="96"/>
        <v>0</v>
      </c>
      <c r="P53" s="157">
        <f t="shared" ref="P53" si="245">P54</f>
        <v>1</v>
      </c>
      <c r="Q53" s="85">
        <f t="shared" si="50"/>
        <v>0</v>
      </c>
      <c r="R53" s="98">
        <f t="shared" si="234"/>
        <v>0</v>
      </c>
      <c r="S53" s="86">
        <f t="shared" si="235"/>
        <v>-50</v>
      </c>
      <c r="T53" s="86">
        <f t="shared" si="236"/>
        <v>-25</v>
      </c>
      <c r="U53" s="86">
        <f t="shared" si="237"/>
        <v>-75</v>
      </c>
      <c r="V53" s="90"/>
      <c r="W53" s="104">
        <f t="shared" si="101"/>
        <v>30.357142857142865</v>
      </c>
      <c r="X53" s="87">
        <f t="shared" si="102"/>
        <v>11.600427996283983</v>
      </c>
      <c r="Y53" s="87">
        <f t="shared" si="103"/>
        <v>2.6168985201983328</v>
      </c>
      <c r="Z53" s="87">
        <f t="shared" si="104"/>
        <v>25</v>
      </c>
    </row>
    <row r="54" spans="1:26" x14ac:dyDescent="0.25">
      <c r="A54" s="140">
        <f t="shared" si="242"/>
        <v>45139</v>
      </c>
      <c r="B54" s="141">
        <f t="shared" si="109"/>
        <v>45169</v>
      </c>
      <c r="C54" s="142"/>
      <c r="D54" s="142" t="s">
        <v>121</v>
      </c>
      <c r="E54" s="154">
        <f t="shared" ref="E54" si="246">SUM(E50:E53)</f>
        <v>38</v>
      </c>
      <c r="F54" s="143" t="s">
        <v>120</v>
      </c>
      <c r="G54" s="154">
        <f t="shared" ref="G54" si="247">SUMPRODUCT(E50:E53,G50:G53)</f>
        <v>98</v>
      </c>
      <c r="H54" s="154">
        <f t="shared" ref="H54" si="248">SUMPRODUCT(E50:E53,H50:H53)</f>
        <v>-35</v>
      </c>
      <c r="I54" s="154">
        <f t="shared" ref="I54" si="249">SUMPRODUCT(E50:E53,I50:I53)</f>
        <v>-25.000000000000007</v>
      </c>
      <c r="J54" s="146">
        <f t="shared" si="93"/>
        <v>37.999999999999993</v>
      </c>
      <c r="K54" s="144">
        <f>IFERROR(AVERAGE($P$8:P54),0)</f>
        <v>0.64285714285714279</v>
      </c>
      <c r="L54" s="145"/>
      <c r="M54" s="146">
        <f t="shared" ref="M54" si="250">V49+G54</f>
        <v>360</v>
      </c>
      <c r="N54" s="147">
        <f t="shared" si="38"/>
        <v>100</v>
      </c>
      <c r="O54" s="148">
        <f t="shared" si="96"/>
        <v>260</v>
      </c>
      <c r="P54" s="155">
        <f t="shared" ref="P54" si="251">IFERROR(MIN(MAX(O54/-H54,0),1),0)</f>
        <v>1</v>
      </c>
      <c r="Q54" s="144">
        <f t="shared" si="50"/>
        <v>0</v>
      </c>
      <c r="R54" s="149">
        <f t="shared" ref="R54" si="252">Q54*H54</f>
        <v>0</v>
      </c>
      <c r="S54" s="150">
        <f t="shared" ref="S54" si="253">SUM(S50:S53)</f>
        <v>63</v>
      </c>
      <c r="T54" s="150">
        <f t="shared" ref="T54" si="254">SUM(T50:T53)</f>
        <v>-25</v>
      </c>
      <c r="U54" s="150">
        <f t="shared" ref="U54" si="255">SUM(U50:U53)</f>
        <v>38</v>
      </c>
      <c r="V54" s="151">
        <f t="shared" ref="V54" si="256">V49+S54</f>
        <v>325</v>
      </c>
      <c r="W54" s="152">
        <f t="shared" si="101"/>
        <v>0</v>
      </c>
      <c r="X54" s="153">
        <f t="shared" si="102"/>
        <v>11.600427996283983</v>
      </c>
      <c r="Y54" s="153">
        <f t="shared" si="103"/>
        <v>0</v>
      </c>
      <c r="Z54" s="149">
        <f t="shared" si="104"/>
        <v>25</v>
      </c>
    </row>
    <row r="55" spans="1:26" outlineLevel="1" x14ac:dyDescent="0.25">
      <c r="A55" s="91">
        <f t="shared" ref="A55" si="257">EDATE(A50,1)</f>
        <v>45170</v>
      </c>
      <c r="B55" s="39">
        <f t="shared" si="109"/>
        <v>45199</v>
      </c>
      <c r="C55" s="93" t="str">
        <f t="shared" ref="C55:D55" si="258">C50</f>
        <v>Clients</v>
      </c>
      <c r="D55" s="94" t="str">
        <f t="shared" si="258"/>
        <v>Revenues</v>
      </c>
      <c r="E55" s="164">
        <f>revenues_initial+revenues_growth*ROUND((A55-project_start)/30.25-1,0)</f>
        <v>180</v>
      </c>
      <c r="F55" s="36" t="str">
        <f>_xlfn.XLOOKUP($D55,contract_type[Type],contract_type[Nature])</f>
        <v>Commercial</v>
      </c>
      <c r="G55" s="36">
        <f>_xlfn.XLOOKUP($D55,contract_type[Type],contract_type[Cash, %])</f>
        <v>1</v>
      </c>
      <c r="H55" s="36">
        <f>_xlfn.XLOOKUP($D55,contract_type[Type],contract_type[Flex, %])</f>
        <v>0</v>
      </c>
      <c r="I55" s="36">
        <f>_xlfn.XLOOKUP($D55,contract_type[Type],contract_type[Credit, %])</f>
        <v>0</v>
      </c>
      <c r="J55" s="74">
        <f t="shared" si="93"/>
        <v>1</v>
      </c>
      <c r="K55" s="167">
        <f t="shared" si="94"/>
        <v>0.67787114845938368</v>
      </c>
      <c r="L55" s="38">
        <f t="shared" ref="L55:L58" si="259">ABS(H55)*($H$3+($I$3-$H$3)*(1-K55))+ABS(I55)*$I$3</f>
        <v>0</v>
      </c>
      <c r="M55" s="63"/>
      <c r="N55" s="88"/>
      <c r="O55" s="51">
        <f t="shared" si="96"/>
        <v>0</v>
      </c>
      <c r="P55" s="156">
        <f t="shared" si="49"/>
        <v>1</v>
      </c>
      <c r="Q55" s="35">
        <f t="shared" si="50"/>
        <v>0</v>
      </c>
      <c r="R55" s="97">
        <f t="shared" ref="R55:R58" si="260">IF(H55=0,0,Q55*H55*E55)</f>
        <v>0</v>
      </c>
      <c r="S55" s="34">
        <f t="shared" ref="S55:S58" si="261">$E55*(G55+IFERROR(H55*P55,0))</f>
        <v>180</v>
      </c>
      <c r="T55" s="34">
        <f t="shared" ref="T55:T58" si="262">U55-S55</f>
        <v>0</v>
      </c>
      <c r="U55" s="34">
        <f t="shared" ref="U55:U58" si="263">$E55*J55</f>
        <v>180</v>
      </c>
      <c r="V55" s="40"/>
      <c r="W55" s="103">
        <f t="shared" si="101"/>
        <v>0</v>
      </c>
      <c r="X55" s="37">
        <f t="shared" si="102"/>
        <v>11.822221516052585</v>
      </c>
      <c r="Y55" s="37">
        <f t="shared" si="103"/>
        <v>0</v>
      </c>
      <c r="Z55" s="37">
        <f t="shared" si="104"/>
        <v>0</v>
      </c>
    </row>
    <row r="56" spans="1:26" outlineLevel="1" x14ac:dyDescent="0.25">
      <c r="A56" s="76">
        <f t="shared" ref="A56" si="264">A55</f>
        <v>45170</v>
      </c>
      <c r="B56" s="39">
        <f t="shared" si="109"/>
        <v>45199</v>
      </c>
      <c r="C56" s="93" t="str">
        <f t="shared" ref="C56:E56" si="265">C51</f>
        <v>Landlord</v>
      </c>
      <c r="D56" s="94" t="str">
        <f t="shared" si="265"/>
        <v>Rent</v>
      </c>
      <c r="E56" s="165">
        <f t="shared" si="265"/>
        <v>-40</v>
      </c>
      <c r="F56" s="36" t="str">
        <f>_xlfn.XLOOKUP($D56,contract_type[Type],contract_type[Nature])</f>
        <v>Commercial</v>
      </c>
      <c r="G56" s="36">
        <f>_xlfn.XLOOKUP($D56,contract_type[Type],contract_type[Cash, %])</f>
        <v>0.75</v>
      </c>
      <c r="H56" s="36">
        <f>_xlfn.XLOOKUP($D56,contract_type[Type],contract_type[Flex, %])</f>
        <v>0.25</v>
      </c>
      <c r="I56" s="36">
        <f>_xlfn.XLOOKUP($D56,contract_type[Type],contract_type[Credit, %])</f>
        <v>0</v>
      </c>
      <c r="J56" s="74">
        <f t="shared" si="93"/>
        <v>1</v>
      </c>
      <c r="K56" s="167">
        <f t="shared" si="107"/>
        <v>0.67787114845938368</v>
      </c>
      <c r="L56" s="38">
        <f t="shared" si="259"/>
        <v>9.8319327731092448E-2</v>
      </c>
      <c r="M56" s="63"/>
      <c r="N56" s="88"/>
      <c r="O56" s="51">
        <f t="shared" si="96"/>
        <v>0</v>
      </c>
      <c r="P56" s="156">
        <f t="shared" si="56"/>
        <v>1</v>
      </c>
      <c r="Q56" s="35">
        <f t="shared" si="50"/>
        <v>0</v>
      </c>
      <c r="R56" s="97">
        <f t="shared" si="260"/>
        <v>0</v>
      </c>
      <c r="S56" s="34">
        <f t="shared" si="261"/>
        <v>-40</v>
      </c>
      <c r="T56" s="34">
        <f t="shared" si="262"/>
        <v>0</v>
      </c>
      <c r="U56" s="34">
        <f t="shared" si="263"/>
        <v>-40</v>
      </c>
      <c r="V56" s="40"/>
      <c r="W56" s="103">
        <f t="shared" si="101"/>
        <v>3.9327731092436977</v>
      </c>
      <c r="X56" s="37">
        <f t="shared" si="102"/>
        <v>11.822221516052585</v>
      </c>
      <c r="Y56" s="37">
        <f t="shared" si="103"/>
        <v>0.33265939941183259</v>
      </c>
      <c r="Z56" s="37">
        <f t="shared" si="104"/>
        <v>0</v>
      </c>
    </row>
    <row r="57" spans="1:26" outlineLevel="1" x14ac:dyDescent="0.25">
      <c r="A57" s="76">
        <f t="shared" ref="A57" si="266">A55</f>
        <v>45170</v>
      </c>
      <c r="B57" s="39">
        <f t="shared" si="109"/>
        <v>45199</v>
      </c>
      <c r="C57" s="93" t="str">
        <f t="shared" ref="C57:D57" si="267">C52</f>
        <v>Suppliers</v>
      </c>
      <c r="D57" s="94" t="str">
        <f t="shared" si="267"/>
        <v>Groceries</v>
      </c>
      <c r="E57" s="163">
        <f>E55*-groceries_pc</f>
        <v>-18</v>
      </c>
      <c r="F57" s="36" t="str">
        <f>_xlfn.XLOOKUP($D57,contract_type[Type],contract_type[Nature])</f>
        <v>Commercial</v>
      </c>
      <c r="G57" s="36">
        <f>_xlfn.XLOOKUP($D57,contract_type[Type],contract_type[Cash, %])</f>
        <v>1</v>
      </c>
      <c r="H57" s="36">
        <f>_xlfn.XLOOKUP($D57,contract_type[Type],contract_type[Flex, %])</f>
        <v>0</v>
      </c>
      <c r="I57" s="36">
        <f>_xlfn.XLOOKUP($D57,contract_type[Type],contract_type[Credit, %])</f>
        <v>0</v>
      </c>
      <c r="J57" s="74">
        <f t="shared" si="93"/>
        <v>1</v>
      </c>
      <c r="K57" s="167">
        <f t="shared" si="111"/>
        <v>0.67787114845938368</v>
      </c>
      <c r="L57" s="38">
        <f t="shared" si="259"/>
        <v>0</v>
      </c>
      <c r="M57" s="63"/>
      <c r="N57" s="88"/>
      <c r="O57" s="51">
        <f t="shared" si="96"/>
        <v>0</v>
      </c>
      <c r="P57" s="156">
        <f t="shared" si="59"/>
        <v>1</v>
      </c>
      <c r="Q57" s="35">
        <f t="shared" si="50"/>
        <v>0</v>
      </c>
      <c r="R57" s="97">
        <f t="shared" si="260"/>
        <v>0</v>
      </c>
      <c r="S57" s="34">
        <f t="shared" si="261"/>
        <v>-18</v>
      </c>
      <c r="T57" s="34">
        <f t="shared" si="262"/>
        <v>0</v>
      </c>
      <c r="U57" s="34">
        <f t="shared" si="263"/>
        <v>-18</v>
      </c>
      <c r="V57" s="40"/>
      <c r="W57" s="103">
        <f t="shared" si="101"/>
        <v>0</v>
      </c>
      <c r="X57" s="37">
        <f t="shared" si="102"/>
        <v>11.822221516052585</v>
      </c>
      <c r="Y57" s="37">
        <f t="shared" si="103"/>
        <v>0</v>
      </c>
      <c r="Z57" s="37">
        <f t="shared" si="104"/>
        <v>0</v>
      </c>
    </row>
    <row r="58" spans="1:26" outlineLevel="1" x14ac:dyDescent="0.25">
      <c r="A58" s="77">
        <f t="shared" ref="A58:A59" si="268">A55</f>
        <v>45170</v>
      </c>
      <c r="B58" s="92">
        <f t="shared" si="109"/>
        <v>45199</v>
      </c>
      <c r="C58" s="95" t="str">
        <f t="shared" ref="C58:E58" si="269">C53</f>
        <v>Alphonse</v>
      </c>
      <c r="D58" s="96" t="str">
        <f t="shared" si="269"/>
        <v>Work</v>
      </c>
      <c r="E58" s="166">
        <f t="shared" si="269"/>
        <v>-75</v>
      </c>
      <c r="F58" s="80" t="str">
        <f>_xlfn.XLOOKUP($D58,contract_type[Type],contract_type[Nature])</f>
        <v>Commercial</v>
      </c>
      <c r="G58" s="80">
        <f>_xlfn.XLOOKUP($D58,contract_type[Type],contract_type[Cash, %])</f>
        <v>0.33333333333333331</v>
      </c>
      <c r="H58" s="80">
        <f>_xlfn.XLOOKUP($D58,contract_type[Type],contract_type[Flex, %])</f>
        <v>0.33333333333333331</v>
      </c>
      <c r="I58" s="80">
        <f>_xlfn.XLOOKUP($D58,contract_type[Type],contract_type[Credit, %])</f>
        <v>0.33333333333333343</v>
      </c>
      <c r="J58" s="81">
        <f t="shared" si="93"/>
        <v>1</v>
      </c>
      <c r="K58" s="168">
        <f t="shared" ref="K58" si="270">K59</f>
        <v>0.67787114845938368</v>
      </c>
      <c r="L58" s="82">
        <f t="shared" si="259"/>
        <v>0.39775910364145672</v>
      </c>
      <c r="M58" s="83"/>
      <c r="N58" s="89"/>
      <c r="O58" s="84">
        <f t="shared" si="96"/>
        <v>0</v>
      </c>
      <c r="P58" s="157">
        <f t="shared" ref="P58" si="271">P59</f>
        <v>1</v>
      </c>
      <c r="Q58" s="85">
        <f t="shared" si="50"/>
        <v>0</v>
      </c>
      <c r="R58" s="98">
        <f t="shared" si="260"/>
        <v>0</v>
      </c>
      <c r="S58" s="86">
        <f t="shared" si="261"/>
        <v>-50</v>
      </c>
      <c r="T58" s="86">
        <f t="shared" si="262"/>
        <v>-25</v>
      </c>
      <c r="U58" s="86">
        <f t="shared" si="263"/>
        <v>-75</v>
      </c>
      <c r="V58" s="90"/>
      <c r="W58" s="104">
        <f t="shared" si="101"/>
        <v>29.831932773109255</v>
      </c>
      <c r="X58" s="87">
        <f t="shared" si="102"/>
        <v>11.822221516052585</v>
      </c>
      <c r="Y58" s="87">
        <f t="shared" si="103"/>
        <v>2.5233779228889017</v>
      </c>
      <c r="Z58" s="87">
        <f t="shared" si="104"/>
        <v>25</v>
      </c>
    </row>
    <row r="59" spans="1:26" x14ac:dyDescent="0.25">
      <c r="A59" s="140">
        <f t="shared" si="268"/>
        <v>45170</v>
      </c>
      <c r="B59" s="141">
        <f t="shared" si="109"/>
        <v>45199</v>
      </c>
      <c r="C59" s="142"/>
      <c r="D59" s="142" t="s">
        <v>121</v>
      </c>
      <c r="E59" s="154">
        <f t="shared" ref="E59" si="272">SUM(E55:E58)</f>
        <v>47</v>
      </c>
      <c r="F59" s="143" t="s">
        <v>120</v>
      </c>
      <c r="G59" s="154">
        <f t="shared" ref="G59" si="273">SUMPRODUCT(E55:E58,G55:G58)</f>
        <v>107</v>
      </c>
      <c r="H59" s="154">
        <f t="shared" ref="H59" si="274">SUMPRODUCT(E55:E58,H55:H58)</f>
        <v>-35</v>
      </c>
      <c r="I59" s="154">
        <f t="shared" ref="I59" si="275">SUMPRODUCT(E55:E58,I55:I58)</f>
        <v>-25.000000000000007</v>
      </c>
      <c r="J59" s="146">
        <f t="shared" si="93"/>
        <v>46.999999999999993</v>
      </c>
      <c r="K59" s="144">
        <f>IFERROR(AVERAGE($P$8:P59),0)</f>
        <v>0.67787114845938368</v>
      </c>
      <c r="L59" s="145"/>
      <c r="M59" s="146">
        <f t="shared" ref="M59" si="276">V54+G59</f>
        <v>432</v>
      </c>
      <c r="N59" s="147">
        <f t="shared" si="38"/>
        <v>100</v>
      </c>
      <c r="O59" s="148">
        <f t="shared" si="96"/>
        <v>332</v>
      </c>
      <c r="P59" s="155">
        <f t="shared" ref="P59" si="277">IFERROR(MIN(MAX(O59/-H59,0),1),0)</f>
        <v>1</v>
      </c>
      <c r="Q59" s="144">
        <f t="shared" si="50"/>
        <v>0</v>
      </c>
      <c r="R59" s="149">
        <f t="shared" ref="R59" si="278">Q59*H59</f>
        <v>0</v>
      </c>
      <c r="S59" s="150">
        <f t="shared" ref="S59" si="279">SUM(S55:S58)</f>
        <v>72</v>
      </c>
      <c r="T59" s="150">
        <f t="shared" ref="T59" si="280">SUM(T55:T58)</f>
        <v>-25</v>
      </c>
      <c r="U59" s="150">
        <f t="shared" ref="U59" si="281">SUM(U55:U58)</f>
        <v>47</v>
      </c>
      <c r="V59" s="151">
        <f t="shared" ref="V59" si="282">V54+S59</f>
        <v>397</v>
      </c>
      <c r="W59" s="152">
        <f t="shared" si="101"/>
        <v>0</v>
      </c>
      <c r="X59" s="153">
        <f t="shared" si="102"/>
        <v>11.822221516052585</v>
      </c>
      <c r="Y59" s="153">
        <f t="shared" si="103"/>
        <v>0</v>
      </c>
      <c r="Z59" s="149">
        <f t="shared" si="104"/>
        <v>25</v>
      </c>
    </row>
    <row r="60" spans="1:26" outlineLevel="1" x14ac:dyDescent="0.25">
      <c r="A60" s="91">
        <f t="shared" ref="A60" si="283">EDATE(A55,1)</f>
        <v>45200</v>
      </c>
      <c r="B60" s="39">
        <f t="shared" si="109"/>
        <v>45230</v>
      </c>
      <c r="C60" s="93" t="str">
        <f t="shared" ref="C60:D60" si="284">C55</f>
        <v>Clients</v>
      </c>
      <c r="D60" s="94" t="str">
        <f t="shared" si="284"/>
        <v>Revenues</v>
      </c>
      <c r="E60" s="164">
        <f>revenues_initial+revenues_growth*ROUND((A60-project_start)/30.25-1,0)</f>
        <v>190</v>
      </c>
      <c r="F60" s="36" t="str">
        <f>_xlfn.XLOOKUP($D60,contract_type[Type],contract_type[Nature])</f>
        <v>Commercial</v>
      </c>
      <c r="G60" s="36">
        <f>_xlfn.XLOOKUP($D60,contract_type[Type],contract_type[Cash, %])</f>
        <v>1</v>
      </c>
      <c r="H60" s="36">
        <f>_xlfn.XLOOKUP($D60,contract_type[Type],contract_type[Flex, %])</f>
        <v>0</v>
      </c>
      <c r="I60" s="36">
        <f>_xlfn.XLOOKUP($D60,contract_type[Type],contract_type[Credit, %])</f>
        <v>0</v>
      </c>
      <c r="J60" s="74">
        <f t="shared" si="93"/>
        <v>1</v>
      </c>
      <c r="K60" s="167">
        <f t="shared" si="94"/>
        <v>0.70663265306122447</v>
      </c>
      <c r="L60" s="38">
        <f t="shared" ref="L60:L63" si="285">ABS(H60)*($H$3+($I$3-$H$3)*(1-K60))+ABS(I60)*$I$3</f>
        <v>0</v>
      </c>
      <c r="M60" s="63"/>
      <c r="N60" s="88"/>
      <c r="O60" s="51">
        <f t="shared" si="96"/>
        <v>0</v>
      </c>
      <c r="P60" s="156">
        <f t="shared" si="49"/>
        <v>1</v>
      </c>
      <c r="Q60" s="35">
        <f t="shared" si="50"/>
        <v>0</v>
      </c>
      <c r="R60" s="97">
        <f t="shared" ref="R60:R63" si="286">IF(H60=0,0,Q60*H60*E60)</f>
        <v>0</v>
      </c>
      <c r="S60" s="34">
        <f t="shared" ref="S60:S63" si="287">$E60*(G60+IFERROR(H60*P60,0))</f>
        <v>190</v>
      </c>
      <c r="T60" s="34">
        <f t="shared" ref="T60:T63" si="288">U60-S60</f>
        <v>0</v>
      </c>
      <c r="U60" s="34">
        <f t="shared" ref="U60:U63" si="289">$E60*J60</f>
        <v>190</v>
      </c>
      <c r="V60" s="40"/>
      <c r="W60" s="103">
        <f t="shared" si="101"/>
        <v>0</v>
      </c>
      <c r="X60" s="37">
        <f t="shared" si="102"/>
        <v>12.040897162558213</v>
      </c>
      <c r="Y60" s="37">
        <f t="shared" si="103"/>
        <v>0</v>
      </c>
      <c r="Z60" s="37">
        <f t="shared" si="104"/>
        <v>0</v>
      </c>
    </row>
    <row r="61" spans="1:26" outlineLevel="1" x14ac:dyDescent="0.25">
      <c r="A61" s="76">
        <f t="shared" ref="A61" si="290">A60</f>
        <v>45200</v>
      </c>
      <c r="B61" s="39">
        <f t="shared" si="109"/>
        <v>45230</v>
      </c>
      <c r="C61" s="93" t="str">
        <f t="shared" ref="C61:E61" si="291">C56</f>
        <v>Landlord</v>
      </c>
      <c r="D61" s="94" t="str">
        <f t="shared" si="291"/>
        <v>Rent</v>
      </c>
      <c r="E61" s="165">
        <f t="shared" si="291"/>
        <v>-40</v>
      </c>
      <c r="F61" s="36" t="str">
        <f>_xlfn.XLOOKUP($D61,contract_type[Type],contract_type[Nature])</f>
        <v>Commercial</v>
      </c>
      <c r="G61" s="36">
        <f>_xlfn.XLOOKUP($D61,contract_type[Type],contract_type[Cash, %])</f>
        <v>0.75</v>
      </c>
      <c r="H61" s="36">
        <f>_xlfn.XLOOKUP($D61,contract_type[Type],contract_type[Flex, %])</f>
        <v>0.25</v>
      </c>
      <c r="I61" s="36">
        <f>_xlfn.XLOOKUP($D61,contract_type[Type],contract_type[Credit, %])</f>
        <v>0</v>
      </c>
      <c r="J61" s="74">
        <f t="shared" si="93"/>
        <v>1</v>
      </c>
      <c r="K61" s="167">
        <f t="shared" si="107"/>
        <v>0.70663265306122447</v>
      </c>
      <c r="L61" s="38">
        <f t="shared" si="285"/>
        <v>9.400510204081633E-2</v>
      </c>
      <c r="M61" s="63"/>
      <c r="N61" s="88"/>
      <c r="O61" s="51">
        <f t="shared" si="96"/>
        <v>0</v>
      </c>
      <c r="P61" s="156">
        <f t="shared" si="56"/>
        <v>1</v>
      </c>
      <c r="Q61" s="35">
        <f t="shared" si="50"/>
        <v>0</v>
      </c>
      <c r="R61" s="97">
        <f t="shared" si="286"/>
        <v>0</v>
      </c>
      <c r="S61" s="34">
        <f t="shared" si="287"/>
        <v>-40</v>
      </c>
      <c r="T61" s="34">
        <f t="shared" si="288"/>
        <v>0</v>
      </c>
      <c r="U61" s="34">
        <f t="shared" si="289"/>
        <v>-40</v>
      </c>
      <c r="V61" s="40"/>
      <c r="W61" s="103">
        <f t="shared" si="101"/>
        <v>3.7602040816326534</v>
      </c>
      <c r="X61" s="37">
        <f t="shared" si="102"/>
        <v>12.040897162558213</v>
      </c>
      <c r="Y61" s="37">
        <f t="shared" si="103"/>
        <v>0.31228603906071056</v>
      </c>
      <c r="Z61" s="37">
        <f t="shared" si="104"/>
        <v>0</v>
      </c>
    </row>
    <row r="62" spans="1:26" outlineLevel="1" x14ac:dyDescent="0.25">
      <c r="A62" s="76">
        <f t="shared" ref="A62" si="292">A60</f>
        <v>45200</v>
      </c>
      <c r="B62" s="39">
        <f t="shared" si="109"/>
        <v>45230</v>
      </c>
      <c r="C62" s="93" t="str">
        <f t="shared" ref="C62:D62" si="293">C57</f>
        <v>Suppliers</v>
      </c>
      <c r="D62" s="94" t="str">
        <f t="shared" si="293"/>
        <v>Groceries</v>
      </c>
      <c r="E62" s="163">
        <f>E60*-groceries_pc</f>
        <v>-19</v>
      </c>
      <c r="F62" s="36" t="str">
        <f>_xlfn.XLOOKUP($D62,contract_type[Type],contract_type[Nature])</f>
        <v>Commercial</v>
      </c>
      <c r="G62" s="36">
        <f>_xlfn.XLOOKUP($D62,contract_type[Type],contract_type[Cash, %])</f>
        <v>1</v>
      </c>
      <c r="H62" s="36">
        <f>_xlfn.XLOOKUP($D62,contract_type[Type],contract_type[Flex, %])</f>
        <v>0</v>
      </c>
      <c r="I62" s="36">
        <f>_xlfn.XLOOKUP($D62,contract_type[Type],contract_type[Credit, %])</f>
        <v>0</v>
      </c>
      <c r="J62" s="74">
        <f t="shared" si="93"/>
        <v>1</v>
      </c>
      <c r="K62" s="167">
        <f t="shared" si="111"/>
        <v>0.70663265306122447</v>
      </c>
      <c r="L62" s="38">
        <f t="shared" si="285"/>
        <v>0</v>
      </c>
      <c r="M62" s="63"/>
      <c r="N62" s="88"/>
      <c r="O62" s="51">
        <f t="shared" si="96"/>
        <v>0</v>
      </c>
      <c r="P62" s="156">
        <f t="shared" si="59"/>
        <v>1</v>
      </c>
      <c r="Q62" s="35">
        <f t="shared" si="50"/>
        <v>0</v>
      </c>
      <c r="R62" s="97">
        <f t="shared" si="286"/>
        <v>0</v>
      </c>
      <c r="S62" s="34">
        <f t="shared" si="287"/>
        <v>-19</v>
      </c>
      <c r="T62" s="34">
        <f t="shared" si="288"/>
        <v>0</v>
      </c>
      <c r="U62" s="34">
        <f t="shared" si="289"/>
        <v>-19</v>
      </c>
      <c r="V62" s="40"/>
      <c r="W62" s="103">
        <f t="shared" si="101"/>
        <v>0</v>
      </c>
      <c r="X62" s="37">
        <f t="shared" si="102"/>
        <v>12.040897162558213</v>
      </c>
      <c r="Y62" s="37">
        <f t="shared" si="103"/>
        <v>0</v>
      </c>
      <c r="Z62" s="37">
        <f t="shared" si="104"/>
        <v>0</v>
      </c>
    </row>
    <row r="63" spans="1:26" outlineLevel="1" x14ac:dyDescent="0.25">
      <c r="A63" s="77">
        <f t="shared" ref="A63:A64" si="294">A60</f>
        <v>45200</v>
      </c>
      <c r="B63" s="92">
        <f t="shared" si="109"/>
        <v>45230</v>
      </c>
      <c r="C63" s="95" t="str">
        <f t="shared" ref="C63:E63" si="295">C58</f>
        <v>Alphonse</v>
      </c>
      <c r="D63" s="96" t="str">
        <f t="shared" si="295"/>
        <v>Work</v>
      </c>
      <c r="E63" s="166">
        <f t="shared" si="295"/>
        <v>-75</v>
      </c>
      <c r="F63" s="80" t="str">
        <f>_xlfn.XLOOKUP($D63,contract_type[Type],contract_type[Nature])</f>
        <v>Commercial</v>
      </c>
      <c r="G63" s="80">
        <f>_xlfn.XLOOKUP($D63,contract_type[Type],contract_type[Cash, %])</f>
        <v>0.33333333333333331</v>
      </c>
      <c r="H63" s="80">
        <f>_xlfn.XLOOKUP($D63,contract_type[Type],contract_type[Flex, %])</f>
        <v>0.33333333333333331</v>
      </c>
      <c r="I63" s="80">
        <f>_xlfn.XLOOKUP($D63,contract_type[Type],contract_type[Credit, %])</f>
        <v>0.33333333333333343</v>
      </c>
      <c r="J63" s="81">
        <f t="shared" si="93"/>
        <v>1</v>
      </c>
      <c r="K63" s="168">
        <f t="shared" ref="K63" si="296">K64</f>
        <v>0.70663265306122447</v>
      </c>
      <c r="L63" s="82">
        <f t="shared" si="285"/>
        <v>0.39200680272108857</v>
      </c>
      <c r="M63" s="83"/>
      <c r="N63" s="89"/>
      <c r="O63" s="84">
        <f t="shared" si="96"/>
        <v>0</v>
      </c>
      <c r="P63" s="157">
        <f t="shared" ref="P63" si="297">P64</f>
        <v>1</v>
      </c>
      <c r="Q63" s="85">
        <f t="shared" si="50"/>
        <v>0</v>
      </c>
      <c r="R63" s="98">
        <f t="shared" si="286"/>
        <v>0</v>
      </c>
      <c r="S63" s="86">
        <f t="shared" si="287"/>
        <v>-50</v>
      </c>
      <c r="T63" s="86">
        <f t="shared" si="288"/>
        <v>-25</v>
      </c>
      <c r="U63" s="86">
        <f t="shared" si="289"/>
        <v>-75</v>
      </c>
      <c r="V63" s="90"/>
      <c r="W63" s="104">
        <f t="shared" si="101"/>
        <v>29.400510204081641</v>
      </c>
      <c r="X63" s="87">
        <f t="shared" si="102"/>
        <v>12.040897162558213</v>
      </c>
      <c r="Y63" s="87">
        <f t="shared" si="103"/>
        <v>2.4417208956409024</v>
      </c>
      <c r="Z63" s="87">
        <f t="shared" si="104"/>
        <v>25</v>
      </c>
    </row>
    <row r="64" spans="1:26" x14ac:dyDescent="0.25">
      <c r="A64" s="140">
        <f t="shared" si="294"/>
        <v>45200</v>
      </c>
      <c r="B64" s="141">
        <f t="shared" si="109"/>
        <v>45230</v>
      </c>
      <c r="C64" s="142"/>
      <c r="D64" s="142" t="s">
        <v>121</v>
      </c>
      <c r="E64" s="154">
        <f t="shared" ref="E64" si="298">SUM(E60:E63)</f>
        <v>56</v>
      </c>
      <c r="F64" s="143" t="s">
        <v>120</v>
      </c>
      <c r="G64" s="154">
        <f t="shared" ref="G64" si="299">SUMPRODUCT(E60:E63,G60:G63)</f>
        <v>116</v>
      </c>
      <c r="H64" s="154">
        <f t="shared" ref="H64" si="300">SUMPRODUCT(E60:E63,H60:H63)</f>
        <v>-35</v>
      </c>
      <c r="I64" s="154">
        <f t="shared" ref="I64" si="301">SUMPRODUCT(E60:E63,I60:I63)</f>
        <v>-25.000000000000007</v>
      </c>
      <c r="J64" s="146">
        <f t="shared" si="93"/>
        <v>55.999999999999993</v>
      </c>
      <c r="K64" s="144">
        <f>IFERROR(AVERAGE($P$8:P64),0)</f>
        <v>0.70663265306122447</v>
      </c>
      <c r="L64" s="145"/>
      <c r="M64" s="146">
        <f t="shared" ref="M64" si="302">V59+G64</f>
        <v>513</v>
      </c>
      <c r="N64" s="147">
        <f t="shared" si="38"/>
        <v>100</v>
      </c>
      <c r="O64" s="148">
        <f t="shared" si="96"/>
        <v>413</v>
      </c>
      <c r="P64" s="155">
        <f t="shared" ref="P64" si="303">IFERROR(MIN(MAX(O64/-H64,0),1),0)</f>
        <v>1</v>
      </c>
      <c r="Q64" s="144">
        <f t="shared" si="50"/>
        <v>0</v>
      </c>
      <c r="R64" s="149">
        <f t="shared" ref="R64" si="304">Q64*H64</f>
        <v>0</v>
      </c>
      <c r="S64" s="150">
        <f t="shared" ref="S64" si="305">SUM(S60:S63)</f>
        <v>81</v>
      </c>
      <c r="T64" s="150">
        <f t="shared" ref="T64" si="306">SUM(T60:T63)</f>
        <v>-25</v>
      </c>
      <c r="U64" s="150">
        <f t="shared" ref="U64" si="307">SUM(U60:U63)</f>
        <v>56</v>
      </c>
      <c r="V64" s="151">
        <f t="shared" ref="V64" si="308">V59+S64</f>
        <v>478</v>
      </c>
      <c r="W64" s="152">
        <f t="shared" si="101"/>
        <v>0</v>
      </c>
      <c r="X64" s="153">
        <f t="shared" si="102"/>
        <v>12.040897162558213</v>
      </c>
      <c r="Y64" s="153">
        <f t="shared" si="103"/>
        <v>0</v>
      </c>
      <c r="Z64" s="149">
        <f t="shared" si="104"/>
        <v>25</v>
      </c>
    </row>
    <row r="65" spans="1:26" outlineLevel="1" x14ac:dyDescent="0.25">
      <c r="A65" s="91">
        <f t="shared" ref="A65" si="309">EDATE(A60,1)</f>
        <v>45231</v>
      </c>
      <c r="B65" s="39">
        <f t="shared" si="109"/>
        <v>45260</v>
      </c>
      <c r="C65" s="93" t="str">
        <f t="shared" ref="C65:D65" si="310">C60</f>
        <v>Clients</v>
      </c>
      <c r="D65" s="94" t="str">
        <f t="shared" si="310"/>
        <v>Revenues</v>
      </c>
      <c r="E65" s="164">
        <f>revenues_initial+revenues_growth*ROUND((A65-project_start)/30.25-1,0)</f>
        <v>200</v>
      </c>
      <c r="F65" s="36" t="str">
        <f>_xlfn.XLOOKUP($D65,contract_type[Type],contract_type[Nature])</f>
        <v>Commercial</v>
      </c>
      <c r="G65" s="36">
        <f>_xlfn.XLOOKUP($D65,contract_type[Type],contract_type[Cash, %])</f>
        <v>1</v>
      </c>
      <c r="H65" s="36">
        <f>_xlfn.XLOOKUP($D65,contract_type[Type],contract_type[Flex, %])</f>
        <v>0</v>
      </c>
      <c r="I65" s="36">
        <f>_xlfn.XLOOKUP($D65,contract_type[Type],contract_type[Credit, %])</f>
        <v>0</v>
      </c>
      <c r="J65" s="74">
        <f t="shared" si="93"/>
        <v>1</v>
      </c>
      <c r="K65" s="167">
        <f t="shared" si="94"/>
        <v>0.73067915690866503</v>
      </c>
      <c r="L65" s="38">
        <f t="shared" ref="L65:L68" si="311">ABS(H65)*($H$3+($I$3-$H$3)*(1-K65))+ABS(I65)*$I$3</f>
        <v>0</v>
      </c>
      <c r="M65" s="63"/>
      <c r="N65" s="88"/>
      <c r="O65" s="51">
        <f t="shared" si="96"/>
        <v>0</v>
      </c>
      <c r="P65" s="156">
        <f t="shared" si="49"/>
        <v>1</v>
      </c>
      <c r="Q65" s="35">
        <f t="shared" si="50"/>
        <v>0</v>
      </c>
      <c r="R65" s="97">
        <f t="shared" ref="R65:R68" si="312">IF(H65=0,0,Q65*H65*E65)</f>
        <v>0</v>
      </c>
      <c r="S65" s="34">
        <f t="shared" ref="S65:S68" si="313">$E65*(G65+IFERROR(H65*P65,0))</f>
        <v>200</v>
      </c>
      <c r="T65" s="34">
        <f t="shared" ref="T65:T68" si="314">U65-S65</f>
        <v>0</v>
      </c>
      <c r="U65" s="34">
        <f t="shared" ref="U65:U68" si="315">$E65*J65</f>
        <v>200</v>
      </c>
      <c r="V65" s="40"/>
      <c r="W65" s="103">
        <f t="shared" si="101"/>
        <v>0</v>
      </c>
      <c r="X65" s="37">
        <f t="shared" si="102"/>
        <v>12.271112199771583</v>
      </c>
      <c r="Y65" s="37">
        <f t="shared" si="103"/>
        <v>0</v>
      </c>
      <c r="Z65" s="37">
        <f t="shared" si="104"/>
        <v>0</v>
      </c>
    </row>
    <row r="66" spans="1:26" outlineLevel="1" x14ac:dyDescent="0.25">
      <c r="A66" s="76">
        <f t="shared" ref="A66" si="316">A65</f>
        <v>45231</v>
      </c>
      <c r="B66" s="39">
        <f t="shared" si="109"/>
        <v>45260</v>
      </c>
      <c r="C66" s="93" t="str">
        <f t="shared" ref="C66:E66" si="317">C61</f>
        <v>Landlord</v>
      </c>
      <c r="D66" s="94" t="str">
        <f t="shared" si="317"/>
        <v>Rent</v>
      </c>
      <c r="E66" s="165">
        <f t="shared" si="317"/>
        <v>-40</v>
      </c>
      <c r="F66" s="36" t="str">
        <f>_xlfn.XLOOKUP($D66,contract_type[Type],contract_type[Nature])</f>
        <v>Commercial</v>
      </c>
      <c r="G66" s="36">
        <f>_xlfn.XLOOKUP($D66,contract_type[Type],contract_type[Cash, %])</f>
        <v>0.75</v>
      </c>
      <c r="H66" s="36">
        <f>_xlfn.XLOOKUP($D66,contract_type[Type],contract_type[Flex, %])</f>
        <v>0.25</v>
      </c>
      <c r="I66" s="36">
        <f>_xlfn.XLOOKUP($D66,contract_type[Type],contract_type[Credit, %])</f>
        <v>0</v>
      </c>
      <c r="J66" s="74">
        <f t="shared" si="93"/>
        <v>1</v>
      </c>
      <c r="K66" s="167">
        <f t="shared" si="107"/>
        <v>0.73067915690866503</v>
      </c>
      <c r="L66" s="38">
        <f t="shared" si="311"/>
        <v>9.0398126463700254E-2</v>
      </c>
      <c r="M66" s="63"/>
      <c r="N66" s="88"/>
      <c r="O66" s="51">
        <f t="shared" si="96"/>
        <v>0</v>
      </c>
      <c r="P66" s="156">
        <f t="shared" si="56"/>
        <v>1</v>
      </c>
      <c r="Q66" s="35">
        <f t="shared" si="50"/>
        <v>0</v>
      </c>
      <c r="R66" s="97">
        <f t="shared" si="312"/>
        <v>0</v>
      </c>
      <c r="S66" s="34">
        <f t="shared" si="313"/>
        <v>-40</v>
      </c>
      <c r="T66" s="34">
        <f t="shared" si="314"/>
        <v>0</v>
      </c>
      <c r="U66" s="34">
        <f t="shared" si="315"/>
        <v>-40</v>
      </c>
      <c r="V66" s="40"/>
      <c r="W66" s="103">
        <f t="shared" si="101"/>
        <v>3.6159250585480103</v>
      </c>
      <c r="X66" s="37">
        <f t="shared" si="102"/>
        <v>12.271112199771583</v>
      </c>
      <c r="Y66" s="37">
        <f t="shared" si="103"/>
        <v>0.29466970879911913</v>
      </c>
      <c r="Z66" s="37">
        <f t="shared" si="104"/>
        <v>0</v>
      </c>
    </row>
    <row r="67" spans="1:26" outlineLevel="1" x14ac:dyDescent="0.25">
      <c r="A67" s="76">
        <f t="shared" ref="A67" si="318">A65</f>
        <v>45231</v>
      </c>
      <c r="B67" s="39">
        <f t="shared" si="109"/>
        <v>45260</v>
      </c>
      <c r="C67" s="93" t="str">
        <f t="shared" ref="C67:D67" si="319">C62</f>
        <v>Suppliers</v>
      </c>
      <c r="D67" s="94" t="str">
        <f t="shared" si="319"/>
        <v>Groceries</v>
      </c>
      <c r="E67" s="163">
        <f>E65*-groceries_pc</f>
        <v>-20</v>
      </c>
      <c r="F67" s="36" t="str">
        <f>_xlfn.XLOOKUP($D67,contract_type[Type],contract_type[Nature])</f>
        <v>Commercial</v>
      </c>
      <c r="G67" s="36">
        <f>_xlfn.XLOOKUP($D67,contract_type[Type],contract_type[Cash, %])</f>
        <v>1</v>
      </c>
      <c r="H67" s="36">
        <f>_xlfn.XLOOKUP($D67,contract_type[Type],contract_type[Flex, %])</f>
        <v>0</v>
      </c>
      <c r="I67" s="36">
        <f>_xlfn.XLOOKUP($D67,contract_type[Type],contract_type[Credit, %])</f>
        <v>0</v>
      </c>
      <c r="J67" s="74">
        <f t="shared" si="93"/>
        <v>1</v>
      </c>
      <c r="K67" s="167">
        <f t="shared" si="111"/>
        <v>0.73067915690866503</v>
      </c>
      <c r="L67" s="38">
        <f t="shared" si="311"/>
        <v>0</v>
      </c>
      <c r="M67" s="63"/>
      <c r="N67" s="88"/>
      <c r="O67" s="51">
        <f t="shared" si="96"/>
        <v>0</v>
      </c>
      <c r="P67" s="156">
        <f t="shared" si="59"/>
        <v>1</v>
      </c>
      <c r="Q67" s="35">
        <f t="shared" si="50"/>
        <v>0</v>
      </c>
      <c r="R67" s="97">
        <f t="shared" si="312"/>
        <v>0</v>
      </c>
      <c r="S67" s="34">
        <f t="shared" si="313"/>
        <v>-20</v>
      </c>
      <c r="T67" s="34">
        <f t="shared" si="314"/>
        <v>0</v>
      </c>
      <c r="U67" s="34">
        <f t="shared" si="315"/>
        <v>-20</v>
      </c>
      <c r="V67" s="40"/>
      <c r="W67" s="103">
        <f t="shared" si="101"/>
        <v>0</v>
      </c>
      <c r="X67" s="37">
        <f t="shared" si="102"/>
        <v>12.271112199771583</v>
      </c>
      <c r="Y67" s="37">
        <f t="shared" si="103"/>
        <v>0</v>
      </c>
      <c r="Z67" s="37">
        <f t="shared" si="104"/>
        <v>0</v>
      </c>
    </row>
    <row r="68" spans="1:26" outlineLevel="1" x14ac:dyDescent="0.25">
      <c r="A68" s="77">
        <f t="shared" ref="A68:A69" si="320">A65</f>
        <v>45231</v>
      </c>
      <c r="B68" s="92">
        <f t="shared" si="109"/>
        <v>45260</v>
      </c>
      <c r="C68" s="95" t="str">
        <f t="shared" ref="C68:E68" si="321">C63</f>
        <v>Alphonse</v>
      </c>
      <c r="D68" s="96" t="str">
        <f t="shared" si="321"/>
        <v>Work</v>
      </c>
      <c r="E68" s="166">
        <f t="shared" si="321"/>
        <v>-75</v>
      </c>
      <c r="F68" s="80" t="str">
        <f>_xlfn.XLOOKUP($D68,contract_type[Type],contract_type[Nature])</f>
        <v>Commercial</v>
      </c>
      <c r="G68" s="80">
        <f>_xlfn.XLOOKUP($D68,contract_type[Type],contract_type[Cash, %])</f>
        <v>0.33333333333333331</v>
      </c>
      <c r="H68" s="80">
        <f>_xlfn.XLOOKUP($D68,contract_type[Type],contract_type[Flex, %])</f>
        <v>0.33333333333333331</v>
      </c>
      <c r="I68" s="80">
        <f>_xlfn.XLOOKUP($D68,contract_type[Type],contract_type[Credit, %])</f>
        <v>0.33333333333333343</v>
      </c>
      <c r="J68" s="81">
        <f t="shared" si="93"/>
        <v>1</v>
      </c>
      <c r="K68" s="168">
        <f t="shared" ref="K68" si="322">K69</f>
        <v>0.73067915690866503</v>
      </c>
      <c r="L68" s="82">
        <f t="shared" si="311"/>
        <v>0.38719750195160041</v>
      </c>
      <c r="M68" s="83"/>
      <c r="N68" s="89"/>
      <c r="O68" s="84">
        <f t="shared" si="96"/>
        <v>0</v>
      </c>
      <c r="P68" s="157">
        <f t="shared" ref="P68" si="323">P69</f>
        <v>1</v>
      </c>
      <c r="Q68" s="85">
        <f t="shared" si="50"/>
        <v>0</v>
      </c>
      <c r="R68" s="98">
        <f t="shared" si="312"/>
        <v>0</v>
      </c>
      <c r="S68" s="86">
        <f t="shared" si="313"/>
        <v>-50</v>
      </c>
      <c r="T68" s="86">
        <f t="shared" si="314"/>
        <v>-25</v>
      </c>
      <c r="U68" s="86">
        <f t="shared" si="315"/>
        <v>-75</v>
      </c>
      <c r="V68" s="90"/>
      <c r="W68" s="104">
        <f t="shared" si="101"/>
        <v>29.039812646370031</v>
      </c>
      <c r="X68" s="87">
        <f t="shared" si="102"/>
        <v>12.271112199771583</v>
      </c>
      <c r="Y68" s="87">
        <f t="shared" si="103"/>
        <v>2.3665183867286768</v>
      </c>
      <c r="Z68" s="87">
        <f t="shared" si="104"/>
        <v>25</v>
      </c>
    </row>
    <row r="69" spans="1:26" x14ac:dyDescent="0.25">
      <c r="A69" s="140">
        <f t="shared" si="320"/>
        <v>45231</v>
      </c>
      <c r="B69" s="141">
        <f t="shared" si="109"/>
        <v>45260</v>
      </c>
      <c r="C69" s="142"/>
      <c r="D69" s="142" t="s">
        <v>121</v>
      </c>
      <c r="E69" s="154">
        <f t="shared" ref="E69" si="324">SUM(E65:E68)</f>
        <v>65</v>
      </c>
      <c r="F69" s="143" t="s">
        <v>120</v>
      </c>
      <c r="G69" s="154">
        <f t="shared" ref="G69" si="325">SUMPRODUCT(E65:E68,G65:G68)</f>
        <v>125</v>
      </c>
      <c r="H69" s="154">
        <f t="shared" ref="H69" si="326">SUMPRODUCT(E65:E68,H65:H68)</f>
        <v>-35</v>
      </c>
      <c r="I69" s="154">
        <f t="shared" ref="I69" si="327">SUMPRODUCT(E65:E68,I65:I68)</f>
        <v>-25.000000000000007</v>
      </c>
      <c r="J69" s="146">
        <f t="shared" si="93"/>
        <v>65</v>
      </c>
      <c r="K69" s="144">
        <f>IFERROR(AVERAGE($P$8:P69),0)</f>
        <v>0.73067915690866503</v>
      </c>
      <c r="L69" s="145"/>
      <c r="M69" s="146">
        <f t="shared" ref="M69" si="328">V64+G69</f>
        <v>603</v>
      </c>
      <c r="N69" s="147">
        <f t="shared" si="38"/>
        <v>100</v>
      </c>
      <c r="O69" s="148">
        <f t="shared" si="96"/>
        <v>503</v>
      </c>
      <c r="P69" s="155">
        <f t="shared" ref="P69" si="329">IFERROR(MIN(MAX(O69/-H69,0),1),0)</f>
        <v>1</v>
      </c>
      <c r="Q69" s="144">
        <f t="shared" si="50"/>
        <v>0</v>
      </c>
      <c r="R69" s="149">
        <f t="shared" ref="R69" si="330">Q69*H69</f>
        <v>0</v>
      </c>
      <c r="S69" s="150">
        <f t="shared" ref="S69" si="331">SUM(S65:S68)</f>
        <v>90</v>
      </c>
      <c r="T69" s="150">
        <f t="shared" ref="T69" si="332">SUM(T65:T68)</f>
        <v>-25</v>
      </c>
      <c r="U69" s="150">
        <f t="shared" ref="U69" si="333">SUM(U65:U68)</f>
        <v>65</v>
      </c>
      <c r="V69" s="151">
        <f t="shared" ref="V69" si="334">V64+S69</f>
        <v>568</v>
      </c>
      <c r="W69" s="152">
        <f t="shared" si="101"/>
        <v>0</v>
      </c>
      <c r="X69" s="153">
        <f t="shared" si="102"/>
        <v>12.271112199771583</v>
      </c>
      <c r="Y69" s="153">
        <f t="shared" si="103"/>
        <v>0</v>
      </c>
      <c r="Z69" s="149">
        <f t="shared" si="104"/>
        <v>25</v>
      </c>
    </row>
    <row r="70" spans="1:26" outlineLevel="1" x14ac:dyDescent="0.25">
      <c r="A70" s="91">
        <f t="shared" ref="A70" si="335">EDATE(A65,1)</f>
        <v>45261</v>
      </c>
      <c r="B70" s="39">
        <f t="shared" si="109"/>
        <v>45291</v>
      </c>
      <c r="C70" s="93" t="str">
        <f t="shared" ref="C70:D70" si="336">C65</f>
        <v>Clients</v>
      </c>
      <c r="D70" s="94" t="str">
        <f t="shared" si="336"/>
        <v>Revenues</v>
      </c>
      <c r="E70" s="164">
        <f>revenues_initial+revenues_growth*ROUND((A70-project_start)/30.25-1,0)</f>
        <v>210</v>
      </c>
      <c r="F70" s="36" t="str">
        <f>_xlfn.XLOOKUP($D70,contract_type[Type],contract_type[Nature])</f>
        <v>Commercial</v>
      </c>
      <c r="G70" s="36">
        <f>_xlfn.XLOOKUP($D70,contract_type[Type],contract_type[Cash, %])</f>
        <v>1</v>
      </c>
      <c r="H70" s="36">
        <f>_xlfn.XLOOKUP($D70,contract_type[Type],contract_type[Flex, %])</f>
        <v>0</v>
      </c>
      <c r="I70" s="36">
        <f>_xlfn.XLOOKUP($D70,contract_type[Type],contract_type[Credit, %])</f>
        <v>0</v>
      </c>
      <c r="J70" s="74">
        <f t="shared" si="93"/>
        <v>1</v>
      </c>
      <c r="K70" s="167">
        <f t="shared" si="94"/>
        <v>0.75108225108225102</v>
      </c>
      <c r="L70" s="38">
        <f t="shared" ref="L70:L73" si="337">ABS(H70)*($H$3+($I$3-$H$3)*(1-K70))+ABS(I70)*$I$3</f>
        <v>0</v>
      </c>
      <c r="M70" s="63"/>
      <c r="N70" s="88"/>
      <c r="O70" s="51">
        <f t="shared" si="96"/>
        <v>0</v>
      </c>
      <c r="P70" s="156">
        <f t="shared" si="49"/>
        <v>1</v>
      </c>
      <c r="Q70" s="35">
        <f t="shared" si="50"/>
        <v>0</v>
      </c>
      <c r="R70" s="97">
        <f t="shared" ref="R70:R73" si="338">IF(H70=0,0,Q70*H70*E70)</f>
        <v>0</v>
      </c>
      <c r="S70" s="34">
        <f t="shared" ref="S70:S73" si="339">$E70*(G70+IFERROR(H70*P70,0))</f>
        <v>210</v>
      </c>
      <c r="T70" s="34">
        <f t="shared" ref="T70:T73" si="340">U70-S70</f>
        <v>0</v>
      </c>
      <c r="U70" s="34">
        <f t="shared" ref="U70:U73" si="341">$E70*J70</f>
        <v>210</v>
      </c>
      <c r="V70" s="40"/>
      <c r="W70" s="103">
        <f t="shared" si="101"/>
        <v>0</v>
      </c>
      <c r="X70" s="37">
        <f t="shared" si="102"/>
        <v>12.498090977828191</v>
      </c>
      <c r="Y70" s="37">
        <f t="shared" si="103"/>
        <v>0</v>
      </c>
      <c r="Z70" s="37">
        <f t="shared" si="104"/>
        <v>0</v>
      </c>
    </row>
    <row r="71" spans="1:26" outlineLevel="1" x14ac:dyDescent="0.25">
      <c r="A71" s="76">
        <f t="shared" ref="A71" si="342">A70</f>
        <v>45261</v>
      </c>
      <c r="B71" s="39">
        <f t="shared" si="109"/>
        <v>45291</v>
      </c>
      <c r="C71" s="93" t="str">
        <f t="shared" ref="C71:E71" si="343">C66</f>
        <v>Landlord</v>
      </c>
      <c r="D71" s="94" t="str">
        <f t="shared" si="343"/>
        <v>Rent</v>
      </c>
      <c r="E71" s="165">
        <f t="shared" si="343"/>
        <v>-40</v>
      </c>
      <c r="F71" s="36" t="str">
        <f>_xlfn.XLOOKUP($D71,contract_type[Type],contract_type[Nature])</f>
        <v>Commercial</v>
      </c>
      <c r="G71" s="36">
        <f>_xlfn.XLOOKUP($D71,contract_type[Type],contract_type[Cash, %])</f>
        <v>0.75</v>
      </c>
      <c r="H71" s="36">
        <f>_xlfn.XLOOKUP($D71,contract_type[Type],contract_type[Flex, %])</f>
        <v>0.25</v>
      </c>
      <c r="I71" s="36">
        <f>_xlfn.XLOOKUP($D71,contract_type[Type],contract_type[Credit, %])</f>
        <v>0</v>
      </c>
      <c r="J71" s="74">
        <f t="shared" si="93"/>
        <v>1</v>
      </c>
      <c r="K71" s="167">
        <f t="shared" si="107"/>
        <v>0.75108225108225102</v>
      </c>
      <c r="L71" s="38">
        <f t="shared" si="337"/>
        <v>8.7337662337662353E-2</v>
      </c>
      <c r="M71" s="63"/>
      <c r="N71" s="88"/>
      <c r="O71" s="51">
        <f t="shared" si="96"/>
        <v>0</v>
      </c>
      <c r="P71" s="156">
        <f t="shared" si="56"/>
        <v>1</v>
      </c>
      <c r="Q71" s="35">
        <f t="shared" si="50"/>
        <v>0</v>
      </c>
      <c r="R71" s="97">
        <f t="shared" si="338"/>
        <v>0</v>
      </c>
      <c r="S71" s="34">
        <f t="shared" si="339"/>
        <v>-40</v>
      </c>
      <c r="T71" s="34">
        <f t="shared" si="340"/>
        <v>0</v>
      </c>
      <c r="U71" s="34">
        <f t="shared" si="341"/>
        <v>-40</v>
      </c>
      <c r="V71" s="40"/>
      <c r="W71" s="103">
        <f t="shared" si="101"/>
        <v>3.4935064935064943</v>
      </c>
      <c r="X71" s="37">
        <f t="shared" si="102"/>
        <v>12.498090977828191</v>
      </c>
      <c r="Y71" s="37">
        <f t="shared" si="103"/>
        <v>0.27952320876076431</v>
      </c>
      <c r="Z71" s="37">
        <f t="shared" si="104"/>
        <v>0</v>
      </c>
    </row>
    <row r="72" spans="1:26" outlineLevel="1" x14ac:dyDescent="0.25">
      <c r="A72" s="76">
        <f t="shared" ref="A72" si="344">A70</f>
        <v>45261</v>
      </c>
      <c r="B72" s="39">
        <f t="shared" si="109"/>
        <v>45291</v>
      </c>
      <c r="C72" s="93" t="str">
        <f t="shared" ref="C72:D72" si="345">C67</f>
        <v>Suppliers</v>
      </c>
      <c r="D72" s="94" t="str">
        <f t="shared" si="345"/>
        <v>Groceries</v>
      </c>
      <c r="E72" s="163">
        <f>E70*-groceries_pc</f>
        <v>-21</v>
      </c>
      <c r="F72" s="36" t="str">
        <f>_xlfn.XLOOKUP($D72,contract_type[Type],contract_type[Nature])</f>
        <v>Commercial</v>
      </c>
      <c r="G72" s="36">
        <f>_xlfn.XLOOKUP($D72,contract_type[Type],contract_type[Cash, %])</f>
        <v>1</v>
      </c>
      <c r="H72" s="36">
        <f>_xlfn.XLOOKUP($D72,contract_type[Type],contract_type[Flex, %])</f>
        <v>0</v>
      </c>
      <c r="I72" s="36">
        <f>_xlfn.XLOOKUP($D72,contract_type[Type],contract_type[Credit, %])</f>
        <v>0</v>
      </c>
      <c r="J72" s="74">
        <f t="shared" si="93"/>
        <v>1</v>
      </c>
      <c r="K72" s="167">
        <f t="shared" si="111"/>
        <v>0.75108225108225102</v>
      </c>
      <c r="L72" s="38">
        <f t="shared" si="337"/>
        <v>0</v>
      </c>
      <c r="M72" s="63"/>
      <c r="N72" s="88"/>
      <c r="O72" s="51">
        <f t="shared" si="96"/>
        <v>0</v>
      </c>
      <c r="P72" s="156">
        <f t="shared" si="59"/>
        <v>1</v>
      </c>
      <c r="Q72" s="35">
        <f t="shared" si="50"/>
        <v>0</v>
      </c>
      <c r="R72" s="97">
        <f t="shared" si="338"/>
        <v>0</v>
      </c>
      <c r="S72" s="34">
        <f t="shared" si="339"/>
        <v>-21</v>
      </c>
      <c r="T72" s="34">
        <f t="shared" si="340"/>
        <v>0</v>
      </c>
      <c r="U72" s="34">
        <f t="shared" si="341"/>
        <v>-21</v>
      </c>
      <c r="V72" s="40"/>
      <c r="W72" s="103">
        <f t="shared" si="101"/>
        <v>0</v>
      </c>
      <c r="X72" s="37">
        <f t="shared" si="102"/>
        <v>12.498090977828191</v>
      </c>
      <c r="Y72" s="37">
        <f t="shared" si="103"/>
        <v>0</v>
      </c>
      <c r="Z72" s="37">
        <f t="shared" si="104"/>
        <v>0</v>
      </c>
    </row>
    <row r="73" spans="1:26" outlineLevel="1" x14ac:dyDescent="0.25">
      <c r="A73" s="77">
        <f t="shared" ref="A73:A74" si="346">A70</f>
        <v>45261</v>
      </c>
      <c r="B73" s="92">
        <f t="shared" si="109"/>
        <v>45291</v>
      </c>
      <c r="C73" s="95" t="str">
        <f t="shared" ref="C73:E73" si="347">C68</f>
        <v>Alphonse</v>
      </c>
      <c r="D73" s="96" t="str">
        <f t="shared" si="347"/>
        <v>Work</v>
      </c>
      <c r="E73" s="166">
        <f t="shared" si="347"/>
        <v>-75</v>
      </c>
      <c r="F73" s="80" t="str">
        <f>_xlfn.XLOOKUP($D73,contract_type[Type],contract_type[Nature])</f>
        <v>Commercial</v>
      </c>
      <c r="G73" s="80">
        <f>_xlfn.XLOOKUP($D73,contract_type[Type],contract_type[Cash, %])</f>
        <v>0.33333333333333331</v>
      </c>
      <c r="H73" s="80">
        <f>_xlfn.XLOOKUP($D73,contract_type[Type],contract_type[Flex, %])</f>
        <v>0.33333333333333331</v>
      </c>
      <c r="I73" s="80">
        <f>_xlfn.XLOOKUP($D73,contract_type[Type],contract_type[Credit, %])</f>
        <v>0.33333333333333343</v>
      </c>
      <c r="J73" s="81">
        <f t="shared" si="93"/>
        <v>1</v>
      </c>
      <c r="K73" s="168">
        <f t="shared" ref="K73" si="348">K74</f>
        <v>0.75108225108225102</v>
      </c>
      <c r="L73" s="82">
        <f t="shared" si="337"/>
        <v>0.38311688311688324</v>
      </c>
      <c r="M73" s="83"/>
      <c r="N73" s="89"/>
      <c r="O73" s="84">
        <f t="shared" si="96"/>
        <v>0</v>
      </c>
      <c r="P73" s="157">
        <f t="shared" ref="P73" si="349">P74</f>
        <v>1</v>
      </c>
      <c r="Q73" s="85">
        <f t="shared" si="50"/>
        <v>0</v>
      </c>
      <c r="R73" s="98">
        <f t="shared" si="338"/>
        <v>0</v>
      </c>
      <c r="S73" s="86">
        <f t="shared" si="339"/>
        <v>-50</v>
      </c>
      <c r="T73" s="86">
        <f t="shared" si="340"/>
        <v>-25</v>
      </c>
      <c r="U73" s="86">
        <f t="shared" si="341"/>
        <v>-75</v>
      </c>
      <c r="V73" s="90"/>
      <c r="W73" s="104">
        <f t="shared" si="101"/>
        <v>28.733766233766243</v>
      </c>
      <c r="X73" s="87">
        <f t="shared" si="102"/>
        <v>12.498090977828191</v>
      </c>
      <c r="Y73" s="87">
        <f t="shared" si="103"/>
        <v>2.2990524140639073</v>
      </c>
      <c r="Z73" s="87">
        <f t="shared" si="104"/>
        <v>25</v>
      </c>
    </row>
    <row r="74" spans="1:26" x14ac:dyDescent="0.25">
      <c r="A74" s="140">
        <f t="shared" si="346"/>
        <v>45261</v>
      </c>
      <c r="B74" s="141">
        <f t="shared" si="109"/>
        <v>45291</v>
      </c>
      <c r="C74" s="142"/>
      <c r="D74" s="142" t="s">
        <v>121</v>
      </c>
      <c r="E74" s="154">
        <f t="shared" ref="E74" si="350">SUM(E70:E73)</f>
        <v>74</v>
      </c>
      <c r="F74" s="143" t="s">
        <v>120</v>
      </c>
      <c r="G74" s="154">
        <f t="shared" ref="G74" si="351">SUMPRODUCT(E70:E73,G70:G73)</f>
        <v>134</v>
      </c>
      <c r="H74" s="154">
        <f t="shared" ref="H74" si="352">SUMPRODUCT(E70:E73,H70:H73)</f>
        <v>-35</v>
      </c>
      <c r="I74" s="154">
        <f t="shared" ref="I74" si="353">SUMPRODUCT(E70:E73,I70:I73)</f>
        <v>-25.000000000000007</v>
      </c>
      <c r="J74" s="146">
        <f t="shared" si="93"/>
        <v>74</v>
      </c>
      <c r="K74" s="144">
        <f>IFERROR(AVERAGE($P$8:P74),0)</f>
        <v>0.75108225108225102</v>
      </c>
      <c r="L74" s="145"/>
      <c r="M74" s="146">
        <f t="shared" ref="M74" si="354">V69+G74</f>
        <v>702</v>
      </c>
      <c r="N74" s="147">
        <f t="shared" si="38"/>
        <v>100</v>
      </c>
      <c r="O74" s="148">
        <f t="shared" si="96"/>
        <v>602</v>
      </c>
      <c r="P74" s="155">
        <f t="shared" ref="P74" si="355">IFERROR(MIN(MAX(O74/-H74,0),1),0)</f>
        <v>1</v>
      </c>
      <c r="Q74" s="144">
        <f t="shared" si="50"/>
        <v>0</v>
      </c>
      <c r="R74" s="149">
        <f t="shared" ref="R74" si="356">Q74*H74</f>
        <v>0</v>
      </c>
      <c r="S74" s="150">
        <f t="shared" ref="S74" si="357">SUM(S70:S73)</f>
        <v>99</v>
      </c>
      <c r="T74" s="150">
        <f t="shared" ref="T74" si="358">SUM(T70:T73)</f>
        <v>-25</v>
      </c>
      <c r="U74" s="150">
        <f t="shared" ref="U74" si="359">SUM(U70:U73)</f>
        <v>74</v>
      </c>
      <c r="V74" s="151">
        <f t="shared" ref="V74" si="360">V69+S74</f>
        <v>667</v>
      </c>
      <c r="W74" s="152">
        <f t="shared" si="101"/>
        <v>0</v>
      </c>
      <c r="X74" s="153">
        <f t="shared" si="102"/>
        <v>12.498090977828191</v>
      </c>
      <c r="Y74" s="153">
        <f t="shared" si="103"/>
        <v>0</v>
      </c>
      <c r="Z74" s="149">
        <f t="shared" si="104"/>
        <v>25</v>
      </c>
    </row>
  </sheetData>
  <autoFilter ref="A7:Z74" xr:uid="{897A4A9D-CE9E-4AD1-A539-537B9CADF8D1}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F6ADA15-9959-4D8E-A0CF-A33EFCC83CA3}">
          <x14:formula1>
            <xm:f>Assumptions!$G$4:$G$10</xm:f>
          </x14:formula1>
          <xm:sqref>D15:D18 D10:D13 D20:D23 D25:D28 D30:D33 D35:D38 D40:D43 D45:D48 D50:D53 D55:D58 D60:D63 D65:D68 D70:D73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A32BB-175F-4EDE-8A65-0E5A0EEE38EB}">
  <dimension ref="C20:W47"/>
  <sheetViews>
    <sheetView workbookViewId="0">
      <selection activeCell="C20" sqref="C20:W47"/>
    </sheetView>
  </sheetViews>
  <sheetFormatPr defaultRowHeight="15" x14ac:dyDescent="0.25"/>
  <sheetData>
    <row r="20" spans="3:23" ht="15.75" x14ac:dyDescent="0.3"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5"/>
      <c r="Q20" s="115"/>
      <c r="R20" s="115"/>
      <c r="S20" s="114"/>
      <c r="T20" s="114"/>
      <c r="U20" s="114"/>
      <c r="V20" s="114"/>
      <c r="W20" s="114"/>
    </row>
    <row r="21" spans="3:23" ht="15.75" x14ac:dyDescent="0.3"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5"/>
      <c r="Q21" s="115"/>
      <c r="R21" s="115"/>
      <c r="S21" s="114"/>
      <c r="T21" s="114"/>
      <c r="U21" s="114"/>
      <c r="V21" s="114"/>
      <c r="W21" s="114"/>
    </row>
    <row r="22" spans="3:23" ht="15.75" x14ac:dyDescent="0.3">
      <c r="C22" s="192"/>
      <c r="D22" s="190"/>
      <c r="E22" s="192" t="s">
        <v>65</v>
      </c>
      <c r="F22" s="190"/>
      <c r="G22" s="190"/>
      <c r="H22" s="190"/>
      <c r="I22" s="191"/>
      <c r="J22" s="114"/>
      <c r="K22" s="114"/>
      <c r="L22" s="189" t="s">
        <v>113</v>
      </c>
      <c r="M22" s="190"/>
      <c r="N22" s="190"/>
      <c r="O22" s="190"/>
      <c r="P22" s="190"/>
      <c r="Q22" s="190"/>
      <c r="R22" s="191"/>
      <c r="S22" s="193" t="s">
        <v>117</v>
      </c>
      <c r="T22" s="190"/>
      <c r="U22" s="190"/>
      <c r="V22" s="194" t="s">
        <v>116</v>
      </c>
      <c r="W22" s="114"/>
    </row>
    <row r="23" spans="3:23" ht="45" x14ac:dyDescent="0.3">
      <c r="C23" s="169" t="s">
        <v>115</v>
      </c>
      <c r="D23" s="169" t="s">
        <v>22</v>
      </c>
      <c r="E23" s="169" t="s">
        <v>29</v>
      </c>
      <c r="F23" s="169" t="s">
        <v>66</v>
      </c>
      <c r="G23" s="169" t="s">
        <v>67</v>
      </c>
      <c r="H23" s="169" t="s">
        <v>74</v>
      </c>
      <c r="I23" s="170" t="s">
        <v>78</v>
      </c>
      <c r="J23" s="114"/>
      <c r="K23" s="114"/>
      <c r="L23" s="122" t="s">
        <v>89</v>
      </c>
      <c r="M23" s="116" t="s">
        <v>81</v>
      </c>
      <c r="N23" s="116" t="s">
        <v>82</v>
      </c>
      <c r="O23" s="116" t="s">
        <v>83</v>
      </c>
      <c r="P23" s="136" t="s">
        <v>68</v>
      </c>
      <c r="Q23" s="133" t="s">
        <v>118</v>
      </c>
      <c r="R23" s="133" t="s">
        <v>69</v>
      </c>
      <c r="S23" s="126" t="s">
        <v>119</v>
      </c>
      <c r="T23" s="126" t="s">
        <v>112</v>
      </c>
      <c r="U23" s="126" t="s">
        <v>36</v>
      </c>
      <c r="V23" s="195"/>
      <c r="W23" s="114"/>
    </row>
    <row r="24" spans="3:23" ht="15.75" x14ac:dyDescent="0.3">
      <c r="C24" s="185" t="s">
        <v>110</v>
      </c>
      <c r="D24" s="172">
        <v>300</v>
      </c>
      <c r="E24" s="172">
        <v>300</v>
      </c>
      <c r="F24" s="172">
        <v>300</v>
      </c>
      <c r="G24" s="173">
        <v>0</v>
      </c>
      <c r="H24" s="174">
        <v>24</v>
      </c>
      <c r="I24" s="175">
        <v>240</v>
      </c>
      <c r="J24" s="114"/>
      <c r="K24" s="114"/>
      <c r="L24" s="118">
        <f t="shared" ref="L24:L29" si="0">F24*(1-credit_risk)</f>
        <v>59.999999999999986</v>
      </c>
      <c r="M24" s="117">
        <f t="shared" ref="M24:M29" si="1">H24*token_current_index</f>
        <v>305.50243638318886</v>
      </c>
      <c r="N24" s="117">
        <f t="shared" ref="N24:N29" si="2">L24+M24</f>
        <v>365.50243638318886</v>
      </c>
      <c r="O24" s="117">
        <f t="shared" ref="O24:O29" si="3">M24+F24</f>
        <v>605.50243638318886</v>
      </c>
      <c r="P24" s="137">
        <f t="shared" ref="P24:R29" si="4">L24/L$29</f>
        <v>0.44576523031203569</v>
      </c>
      <c r="Q24" s="119">
        <f t="shared" si="4"/>
        <v>0.36998574196260364</v>
      </c>
      <c r="R24" s="119">
        <f t="shared" si="4"/>
        <v>0.38060718274817573</v>
      </c>
      <c r="S24" s="117">
        <f>-MIN(F24,$S$29*P24)</f>
        <v>-126.37444279346212</v>
      </c>
      <c r="T24" s="117">
        <f>-T$29*Q24</f>
        <v>-104.89095784639814</v>
      </c>
      <c r="U24" s="117">
        <f t="shared" ref="U24:U29" si="5">SUM(S24:T24)</f>
        <v>-231.26540063986027</v>
      </c>
      <c r="V24" s="128">
        <f>E24+U24</f>
        <v>68.734599360139725</v>
      </c>
      <c r="W24" s="114"/>
    </row>
    <row r="25" spans="3:23" ht="15.75" x14ac:dyDescent="0.3">
      <c r="C25" s="186" t="s">
        <v>73</v>
      </c>
      <c r="D25" s="176">
        <v>1860</v>
      </c>
      <c r="E25" s="176">
        <v>1860</v>
      </c>
      <c r="F25" s="176">
        <v>0</v>
      </c>
      <c r="G25" s="177">
        <v>1</v>
      </c>
      <c r="H25" s="178">
        <v>0</v>
      </c>
      <c r="I25" s="179">
        <v>0</v>
      </c>
      <c r="J25" s="114"/>
      <c r="K25" s="114"/>
      <c r="L25" s="131">
        <f t="shared" si="0"/>
        <v>0</v>
      </c>
      <c r="M25" s="124">
        <f t="shared" si="1"/>
        <v>0</v>
      </c>
      <c r="N25" s="124">
        <f t="shared" si="2"/>
        <v>0</v>
      </c>
      <c r="O25" s="124">
        <f t="shared" si="3"/>
        <v>0</v>
      </c>
      <c r="P25" s="138">
        <f t="shared" si="4"/>
        <v>0</v>
      </c>
      <c r="Q25" s="134">
        <f t="shared" si="4"/>
        <v>0</v>
      </c>
      <c r="R25" s="134">
        <f t="shared" si="4"/>
        <v>0</v>
      </c>
      <c r="S25" s="124">
        <f>-MIN(F25,$S$29*P25)</f>
        <v>0</v>
      </c>
      <c r="T25" s="124">
        <f>-T$29*Q25</f>
        <v>0</v>
      </c>
      <c r="U25" s="124">
        <f t="shared" si="5"/>
        <v>0</v>
      </c>
      <c r="V25" s="129">
        <f>E25+U25</f>
        <v>1860</v>
      </c>
      <c r="W25" s="114"/>
    </row>
    <row r="26" spans="3:23" ht="15.75" x14ac:dyDescent="0.3">
      <c r="C26" s="185" t="s">
        <v>71</v>
      </c>
      <c r="D26" s="172">
        <v>-486</v>
      </c>
      <c r="E26" s="172">
        <v>-486</v>
      </c>
      <c r="F26" s="172">
        <v>0</v>
      </c>
      <c r="G26" s="173">
        <v>1</v>
      </c>
      <c r="H26" s="174">
        <v>0</v>
      </c>
      <c r="I26" s="175">
        <v>0</v>
      </c>
      <c r="J26" s="114"/>
      <c r="K26" s="114"/>
      <c r="L26" s="118">
        <f t="shared" si="0"/>
        <v>0</v>
      </c>
      <c r="M26" s="117">
        <f t="shared" si="1"/>
        <v>0</v>
      </c>
      <c r="N26" s="117">
        <f t="shared" si="2"/>
        <v>0</v>
      </c>
      <c r="O26" s="117">
        <f t="shared" si="3"/>
        <v>0</v>
      </c>
      <c r="P26" s="137">
        <f t="shared" si="4"/>
        <v>0</v>
      </c>
      <c r="Q26" s="119">
        <f t="shared" si="4"/>
        <v>0</v>
      </c>
      <c r="R26" s="119">
        <f t="shared" si="4"/>
        <v>0</v>
      </c>
      <c r="S26" s="117">
        <f>-MIN(F26,$S$29*P26)</f>
        <v>0</v>
      </c>
      <c r="T26" s="117">
        <f>-T$29*Q26</f>
        <v>0</v>
      </c>
      <c r="U26" s="117">
        <f t="shared" si="5"/>
        <v>0</v>
      </c>
      <c r="V26" s="128">
        <f>E26+U26</f>
        <v>-486</v>
      </c>
      <c r="W26" s="114"/>
    </row>
    <row r="27" spans="3:23" ht="15.75" x14ac:dyDescent="0.3">
      <c r="C27" s="185" t="s">
        <v>72</v>
      </c>
      <c r="D27" s="172">
        <v>-480</v>
      </c>
      <c r="E27" s="172">
        <v>-459.14285714285711</v>
      </c>
      <c r="F27" s="172">
        <v>20.857142857142861</v>
      </c>
      <c r="G27" s="173">
        <v>0.95654761904761898</v>
      </c>
      <c r="H27" s="174">
        <v>5.5861463788532264</v>
      </c>
      <c r="I27" s="175">
        <v>61.752352153085582</v>
      </c>
      <c r="L27" s="118">
        <f t="shared" si="0"/>
        <v>4.1714285714285717</v>
      </c>
      <c r="M27" s="117">
        <f t="shared" si="1"/>
        <v>71.107555363866183</v>
      </c>
      <c r="N27" s="117">
        <f t="shared" si="2"/>
        <v>75.278983935294761</v>
      </c>
      <c r="O27" s="117">
        <f t="shared" si="3"/>
        <v>91.964698221009044</v>
      </c>
      <c r="P27" s="137">
        <f t="shared" si="4"/>
        <v>3.0991296964551062E-2</v>
      </c>
      <c r="Q27" s="119">
        <f t="shared" si="4"/>
        <v>8.6116438028821754E-2</v>
      </c>
      <c r="R27" s="119">
        <f t="shared" si="4"/>
        <v>7.8389961717572676E-2</v>
      </c>
      <c r="S27" s="117">
        <f>-MIN(F27,$S$29*P27)</f>
        <v>-8.7860326894502254</v>
      </c>
      <c r="T27" s="117">
        <f>-T$29*Q27</f>
        <v>-24.414010181170966</v>
      </c>
      <c r="U27" s="117">
        <f t="shared" si="5"/>
        <v>-33.200042870621189</v>
      </c>
      <c r="V27" s="128">
        <f>E27+U27</f>
        <v>-492.3429000134783</v>
      </c>
      <c r="W27" s="114"/>
    </row>
    <row r="28" spans="3:23" ht="15.75" x14ac:dyDescent="0.3">
      <c r="C28" s="185" t="s">
        <v>3</v>
      </c>
      <c r="D28" s="172">
        <v>-900</v>
      </c>
      <c r="E28" s="172">
        <v>-547.85714285714289</v>
      </c>
      <c r="F28" s="172">
        <v>352.14285714285711</v>
      </c>
      <c r="G28" s="173">
        <v>0.60873015873015879</v>
      </c>
      <c r="H28" s="174">
        <v>35.281218165226441</v>
      </c>
      <c r="I28" s="175">
        <v>394.38088038271411</v>
      </c>
      <c r="L28" s="118">
        <f t="shared" si="0"/>
        <v>70.428571428571402</v>
      </c>
      <c r="M28" s="117">
        <f t="shared" si="1"/>
        <v>449.10408783514572</v>
      </c>
      <c r="N28" s="117">
        <f t="shared" si="2"/>
        <v>519.53265926371716</v>
      </c>
      <c r="O28" s="117">
        <f t="shared" si="3"/>
        <v>801.24694497800283</v>
      </c>
      <c r="P28" s="137">
        <f t="shared" si="4"/>
        <v>0.52324347272341321</v>
      </c>
      <c r="Q28" s="119">
        <f t="shared" si="4"/>
        <v>0.54389782000857467</v>
      </c>
      <c r="R28" s="119">
        <f t="shared" si="4"/>
        <v>0.54100285553425165</v>
      </c>
      <c r="S28" s="117">
        <f>-MIN(F28,$S$29*P28)</f>
        <v>-148.33952451708765</v>
      </c>
      <c r="T28" s="117">
        <f>-T$29*Q28</f>
        <v>-154.19503197243091</v>
      </c>
      <c r="U28" s="117">
        <f t="shared" si="5"/>
        <v>-302.53455648951854</v>
      </c>
      <c r="V28" s="128">
        <f>E28+U28</f>
        <v>-850.39169934666143</v>
      </c>
      <c r="W28" s="114"/>
    </row>
    <row r="29" spans="3:23" ht="15.75" x14ac:dyDescent="0.3">
      <c r="C29" s="183" t="s">
        <v>70</v>
      </c>
      <c r="D29" s="180">
        <v>294</v>
      </c>
      <c r="E29" s="180">
        <v>667</v>
      </c>
      <c r="F29" s="180">
        <v>673</v>
      </c>
      <c r="G29" s="184">
        <v>-111.16666666666667</v>
      </c>
      <c r="H29" s="181">
        <v>64.867364544079663</v>
      </c>
      <c r="I29" s="182">
        <v>696.13323253579961</v>
      </c>
      <c r="L29" s="132">
        <f t="shared" si="0"/>
        <v>134.59999999999997</v>
      </c>
      <c r="M29" s="125">
        <f t="shared" si="1"/>
        <v>825.71407958220072</v>
      </c>
      <c r="N29" s="125">
        <f t="shared" si="2"/>
        <v>960.31407958220075</v>
      </c>
      <c r="O29" s="125">
        <f t="shared" si="3"/>
        <v>1498.7140795822006</v>
      </c>
      <c r="P29" s="139">
        <f t="shared" si="4"/>
        <v>1</v>
      </c>
      <c r="Q29" s="135">
        <f t="shared" si="4"/>
        <v>1</v>
      </c>
      <c r="R29" s="135">
        <f t="shared" si="4"/>
        <v>1</v>
      </c>
      <c r="S29" s="125">
        <f>credit_buyback*($E$29-base_reserve)</f>
        <v>283.5</v>
      </c>
      <c r="T29" s="125">
        <f>(1-credit_buyback)*($E$29-base_reserve)</f>
        <v>283.5</v>
      </c>
      <c r="U29" s="125">
        <f t="shared" si="5"/>
        <v>567</v>
      </c>
      <c r="V29" s="130">
        <f>SUM(V24:V28)</f>
        <v>100</v>
      </c>
      <c r="W29" s="114"/>
    </row>
    <row r="30" spans="3:23" ht="15.75" x14ac:dyDescent="0.3">
      <c r="P30" s="38"/>
      <c r="Q30" s="38"/>
      <c r="R30" s="38"/>
      <c r="S30" s="117">
        <f>SUM(S24:S29)</f>
        <v>0</v>
      </c>
      <c r="T30" s="117">
        <f>SUM(T24:T29)</f>
        <v>0</v>
      </c>
      <c r="U30" s="117">
        <f>SUM(U24:U29)</f>
        <v>0</v>
      </c>
      <c r="V30" s="117">
        <f>V29-base_reserve</f>
        <v>0</v>
      </c>
      <c r="W30" s="114"/>
    </row>
    <row r="31" spans="3:23" x14ac:dyDescent="0.25">
      <c r="E31" s="105"/>
      <c r="F31" s="38"/>
      <c r="P31" s="38"/>
      <c r="Q31" s="38"/>
      <c r="R31" s="38"/>
      <c r="S31" s="38"/>
      <c r="T31" s="38"/>
      <c r="U31" s="38"/>
      <c r="V31" s="40"/>
    </row>
    <row r="32" spans="3:23" x14ac:dyDescent="0.25">
      <c r="P32" s="38"/>
      <c r="Q32" s="38"/>
      <c r="R32" s="38"/>
    </row>
    <row r="33" spans="3:23" x14ac:dyDescent="0.25">
      <c r="P33" s="38"/>
      <c r="Q33" s="38"/>
      <c r="R33" s="38"/>
    </row>
    <row r="34" spans="3:23" x14ac:dyDescent="0.25">
      <c r="P34" s="38"/>
      <c r="Q34" s="38"/>
      <c r="R34" s="38"/>
    </row>
    <row r="35" spans="3:23" ht="16.5" x14ac:dyDescent="0.25">
      <c r="C35" s="14"/>
      <c r="D35" s="14"/>
      <c r="E35" s="14"/>
      <c r="F35" s="15" t="s">
        <v>110</v>
      </c>
      <c r="G35" s="15" t="s">
        <v>72</v>
      </c>
      <c r="H35" s="15" t="s">
        <v>3</v>
      </c>
      <c r="I35" s="16" t="s">
        <v>4</v>
      </c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3:23" ht="16.5" x14ac:dyDescent="0.25">
      <c r="C36" s="3" t="s">
        <v>6</v>
      </c>
      <c r="D36" s="3"/>
      <c r="E36" s="3" t="s">
        <v>1</v>
      </c>
      <c r="F36" s="5">
        <v>300</v>
      </c>
      <c r="G36" s="5"/>
      <c r="H36" s="4">
        <v>0</v>
      </c>
      <c r="I36" s="17">
        <v>300</v>
      </c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3:23" ht="16.5" x14ac:dyDescent="0.25">
      <c r="C37" s="9" t="s">
        <v>7</v>
      </c>
      <c r="D37" s="9"/>
      <c r="E37" s="9" t="s">
        <v>1</v>
      </c>
      <c r="F37" s="19">
        <v>0</v>
      </c>
      <c r="G37" s="19">
        <f>120</f>
        <v>120</v>
      </c>
      <c r="H37" s="18">
        <v>900</v>
      </c>
      <c r="I37" s="20">
        <v>900</v>
      </c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3:23" ht="16.5" x14ac:dyDescent="0.25">
      <c r="C38" s="3" t="s">
        <v>0</v>
      </c>
      <c r="D38" s="3"/>
      <c r="E38" s="3" t="s">
        <v>1</v>
      </c>
      <c r="F38" s="4">
        <f>SUM(F36:F37)</f>
        <v>300</v>
      </c>
      <c r="G38" s="4">
        <f>SUM(G36:G37)</f>
        <v>120</v>
      </c>
      <c r="H38" s="4">
        <f>SUM(H36:H37)</f>
        <v>900</v>
      </c>
      <c r="I38" s="17">
        <f>SUM(I36:I37)</f>
        <v>1200</v>
      </c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3:23" ht="16.5" x14ac:dyDescent="0.25">
      <c r="C39" s="6" t="s">
        <v>11</v>
      </c>
      <c r="D39" s="6"/>
      <c r="E39" s="6" t="s">
        <v>2</v>
      </c>
      <c r="F39" s="8">
        <v>-0.8</v>
      </c>
      <c r="G39" s="8">
        <v>-0.8</v>
      </c>
      <c r="H39" s="8">
        <v>-0.8</v>
      </c>
      <c r="I39" s="21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3:23" ht="16.5" x14ac:dyDescent="0.25">
      <c r="C40" s="6" t="s">
        <v>12</v>
      </c>
      <c r="D40" s="6"/>
      <c r="E40" s="6" t="s">
        <v>1</v>
      </c>
      <c r="F40" s="7">
        <f>F38*(1+F39)</f>
        <v>59.999999999999986</v>
      </c>
      <c r="G40" s="7">
        <f>G38*(1+G39)</f>
        <v>23.999999999999993</v>
      </c>
      <c r="H40" s="7">
        <f>H38*(1+H39)</f>
        <v>179.99999999999997</v>
      </c>
      <c r="I40" s="22">
        <f>SUM(H40:H40)</f>
        <v>179.99999999999997</v>
      </c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3:23" ht="16.5" x14ac:dyDescent="0.25">
      <c r="C41" s="12" t="s">
        <v>14</v>
      </c>
      <c r="D41" s="12"/>
      <c r="E41" s="12" t="s">
        <v>10</v>
      </c>
      <c r="F41" s="13">
        <f>(F38-F40)/10</f>
        <v>24</v>
      </c>
      <c r="G41" s="13">
        <f>(G38-G40)/10</f>
        <v>9.6</v>
      </c>
      <c r="H41" s="13">
        <f>(H38-H40)/10</f>
        <v>72</v>
      </c>
      <c r="I41" s="23">
        <f>SUM(H41:H41)</f>
        <v>72</v>
      </c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3:23" ht="16.5" x14ac:dyDescent="0.25">
      <c r="C42" s="24" t="s">
        <v>9</v>
      </c>
      <c r="D42" s="24"/>
      <c r="E42" s="24" t="s">
        <v>2</v>
      </c>
      <c r="F42" s="25">
        <f>F41/$I$41</f>
        <v>0.33333333333333331</v>
      </c>
      <c r="G42" s="25">
        <f>G41/$I$41</f>
        <v>0.13333333333333333</v>
      </c>
      <c r="H42" s="25">
        <f>H41/$I$41</f>
        <v>1</v>
      </c>
      <c r="I42" s="26">
        <f>I41/$I$41</f>
        <v>1</v>
      </c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3:23" ht="18" x14ac:dyDescent="0.25">
      <c r="C43" s="6" t="s">
        <v>17</v>
      </c>
      <c r="D43" s="6"/>
      <c r="E43" s="3" t="s">
        <v>1</v>
      </c>
      <c r="F43" s="5">
        <f>F42*Overview!$AC$15</f>
        <v>0</v>
      </c>
      <c r="G43" s="5">
        <f>G42*Overview!$AC$15</f>
        <v>0</v>
      </c>
      <c r="H43" s="5">
        <f>H42*Overview!$AC$15</f>
        <v>0</v>
      </c>
      <c r="I43" s="17">
        <f>I42*Overview!$AC$15</f>
        <v>0</v>
      </c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3:23" ht="16.5" x14ac:dyDescent="0.25">
      <c r="C44" s="9"/>
      <c r="D44" s="9"/>
      <c r="E44" s="9" t="s">
        <v>2</v>
      </c>
      <c r="F44" s="10">
        <f>H28/$H$29</f>
        <v>0.54389782000857467</v>
      </c>
      <c r="G44" s="10">
        <f>I28/$H$29</f>
        <v>6.0798042768443041</v>
      </c>
      <c r="H44" s="10">
        <f>H24/H29</f>
        <v>0.36998574196260359</v>
      </c>
      <c r="I44" s="27" t="e">
        <f>I43/$I$43</f>
        <v>#DIV/0!</v>
      </c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3:23" ht="16.5" x14ac:dyDescent="0.25">
      <c r="C45" s="28" t="s">
        <v>8</v>
      </c>
      <c r="D45" s="28"/>
      <c r="E45" s="28" t="s">
        <v>1</v>
      </c>
      <c r="F45" s="30">
        <f>F37+F43</f>
        <v>0</v>
      </c>
      <c r="G45" s="30">
        <f>G37+G43</f>
        <v>120</v>
      </c>
      <c r="H45" s="29">
        <f>H37+H43</f>
        <v>900</v>
      </c>
      <c r="I45" s="31">
        <f>I37+I43</f>
        <v>900</v>
      </c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3:23" ht="16.5" x14ac:dyDescent="0.25">
      <c r="C46" s="11"/>
      <c r="D46" s="11"/>
      <c r="E46" s="6" t="s">
        <v>5</v>
      </c>
      <c r="F46" s="8">
        <f>F45/$I45</f>
        <v>0</v>
      </c>
      <c r="G46" s="8">
        <f>G45/$I45</f>
        <v>0.13333333333333333</v>
      </c>
      <c r="H46" s="8">
        <f>H45/$I45</f>
        <v>1</v>
      </c>
      <c r="I46" s="32">
        <f>I45/$I45</f>
        <v>1</v>
      </c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3:23" ht="16.5" x14ac:dyDescent="0.25"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</sheetData>
  <mergeCells count="5">
    <mergeCell ref="L22:R22"/>
    <mergeCell ref="E22:I22"/>
    <mergeCell ref="S22:U22"/>
    <mergeCell ref="C22:D22"/>
    <mergeCell ref="V22:V2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 T _ T r a n s a c t i o n s 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 T _ T r a n s a c t i o n s 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 C o l u m n s \ D a t e < / K e y > < / D i a g r a m O b j e c t K e y > < D i a g r a m O b j e c t K e y > < K e y > C o l u m n s \ T r a n s a c t i o n < / K e y > < / D i a g r a m O b j e c t K e y > < D i a g r a m O b j e c t K e y > < K e y > C o l u m n s \ A m o u n t < / K e y > < / D i a g r a m O b j e c t K e y > < D i a g r a m O b j e c t K e y > < K e y > C o l u m n s \ C u r r e n c y < / K e y > < / D i a g r a m O b j e c t K e y > < D i a g r a m O b j e c t K e y > < K e y > C o l u m n s \ S i g n < / K e y > < / D i a g r a m O b j e c t K e y > < D i a g r a m O b j e c t K e y > < K e y > C o l u m n s \ V a l u e < / K e y > < / D i a g r a m O b j e c t K e y > < D i a g r a m O b j e c t K e y > < K e y > C o l u m n s \ P a r t i c i p a n t < / K e y > < / D i a g r a m O b j e c t K e y > < D i a g r a m O b j e c t K e y > < K e y > C o l u m n s \ P a y m e n t   M e t h o d < / K e y > < / D i a g r a m O b j e c t K e y > < D i a g r a m O b j e c t K e y > < K e y > C o l u m n s \ P a y m e n t   T e r m s < / K e y > < / D i a g r a m O b j e c t K e y > < D i a g r a m O b j e c t K e y > < K e y > C o l u m n s \ A c c o u t < / K e y > < / D i a g r a m O b j e c t K e y > < D i a g r a m O b j e c t K e y > < K e y > C o l u m n s \ D e t a i l s < / K e y > < / D i a g r a m O b j e c t K e y > < D i a g r a m O b j e c t K e y > < K e y > C o l u m n s \ Q u a n t i t y < / K e y > < / D i a g r a m O b j e c t K e y > < D i a g r a m O b j e c t K e y > < K e y > C o l u m n s \ U n i t < / K e y > < / D i a g r a m O b j e c t K e y > < D i a g r a m O b j e c t K e y > < K e y > C o l u m n s \ P r i c e 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 C o l u m n s \ D a t e 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 C o l u m n s \ T r a n s a c t i o n 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 C o l u m n s \ A m o u n t 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 C o l u m n s \ C u r r e n c y 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 C o l u m n s \ S i g n 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 C o l u m n s \ V a l u e 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 C o l u m n s \ P a r t i c i p a n t 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 C o l u m n s \ P a y m e n t   M e t h o d 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 C o l u m n s \ P a y m e n t   T e r m s 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 C o l u m n s \ A c c o u t 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 C o l u m n s \ D e t a i l s 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 C o l u m n s \ Q u a n t i t y 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 C o l u m n s \ U n i t 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 C o l u m n s \ P r i c e 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 T _ C o n t r i b u t i o n s 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 T _ C o n t r i b u t i o n s 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 C o l u m n s \ C o n t r i b u t i o n < / K e y > < / D i a g r a m O b j e c t K e y > < D i a g r a m O b j e c t K e y > < K e y > C o l u m n s \ T y p e   C o n t r i b u t i o n < / K e y > < / D i a g r a m O b j e c t K e y > < D i a g r a m O b j e c t K e y > < K e y > C o l u m n s \ C a t � g o r i e   C o n t r i b u t i o n < / K e y > < / D i a g r a m O b j e c t K e y > < D i a g r a m O b j e c t K e y > < K e y > C o l u m n s \ S i g n < / K e y > < / D i a g r a m O b j e c t K e y > < D i a g r a m O b j e c t K e y > < K e y > C o l u m n s \ N i v e a u   C o n t r i b u t i o n 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 C o l u m n s \ C o n t r i b u t i o n 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 C o l u m n s \ T y p e   C o n t r i b u t i o n 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 C o l u m n s \ C a t � g o r i e   C o n t r i b u t i o n 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 C o l u m n s \ S i g n 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 C o l u m n s \ N i v e a u   C o n t r i b u t i o n 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 T _ P a r t i c i p a n t s 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 T _ P a r t i c i p a n t s 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 C o l u m n s \ P a r t i c i p a n t < / K e y > < / D i a g r a m O b j e c t K e y > < D i a g r a m O b j e c t K e y > < K e y > C o l u m n s \ P a r t i c i p a n t   T y p e < / K e y > < / D i a g r a m O b j e c t K e y > < D i a g r a m O b j e c t K e y > < K e y > C o l u m n s \ P a r t i c i p a n t   C a t e g o r y < / K e y > < / D i a g r a m O b j e c t K e y > < D i a g r a m O b j e c t K e y > < K e y > C o l u m n s \ P a t i c i p a n t   L e v e l < / K e y > < / D i a g r a m O b j e c t K e y > < D i a g r a m O b j e c t K e y > < K e y > C o l u m n s \ C o n t r i b u t i o n < / K e y > < / D i a g r a m O b j e c t K e y > < D i a g r a m O b j e c t K e y > < K e y > C o l u m n s \ N i v e a u   C o n t r i b u t i o n 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 C o l u m n s \ P a r t i c i p a n t 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 C o l u m n s \ P a r t i c i p a n t   T y p e 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 C o l u m n s \ P a r t i c i p a n t   C a t e g o r y 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 C o l u m n s \ P a t i c i p a n t   L e v e l 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 C o l u m n s \ C o n t r i b u t i o n 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 C o l u m n s \ N i v e a u   C o n t r i b u t i o n 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E R D i a g r a m S a n d b o x A d a p t e r " > < P e r s p e c t i v e N a m e / > < / A d a p t e r > < D i a g r a m T y p e > E R D i a g r a m < / D i a g r a m T y p e > < D i s p l a y C o n t e x t   i : t y p e = " D i a g r a m D i s p l a y C o n t e x t " > < P r i m a r y T a g G r o u p K e y > < K e y > T a g G r o u p s \ N o d e   T y p e s < / K e y > < / P r i m a r y T a g G r o u p K e y > < S h o w H i d d e n > t r u e < / S h o w H i d d e n > < S h o w n T a g G r o u p K e y s > < D i a g r a m O b j e c t K e y > < K e y > T a g G r o u p s \ W a r n i n g s < / K e y > < / D i a g r a m O b j e c t K e y > < / S h o w n T a g G r o u p K e y s > < T a g G r o u p H i g h l i g h t s K e y > < K e y > T a g G r o u p s \ H i g h l i g h t   R e a s o n s < / K e y > < / T a g G r o u p H i g h l i g h t s K e y > < T a g H i d d e n K e y > < K e y > S t a t i c   T a g s \ H i d d e n < / K e y > < / T a g H i d d e n K e y > < T a g H i g h l i g h t D i s a p p e a r i n g K e y > < K e y > S t a t i c   T a g s \ D e l e t i n g < / K e y > < / T a g H i g h l i g h t D i s a p p e a r i n g K e y > < T a g H i g h l i g h t P r e v i e w L i n k C r e a t i o n K e y > < K e y > S t a t i c   T a g s \ C r e a t i n g   V a l i d   R e l a t i o n s h i p < / K e y > < / T a g H i g h l i g h t P r e v i e w L i n k C r e a t i o n K e y > < T a g H i g h l i g h t R e l a t e d K e y > < K e y > S t a t i c   T a g s \ R e l a t e d < / K e y > < / T a g H i g h l i g h t R e l a t e d K e y > < T a g H i n t T e x t K e y > < K e y > S t a t i c   T a g s \ H i n t   T e x t < / K e y > < / T a g H i n t T e x t K e y > < T a g I m p l i c i t M e a s u r e K e y > < K e y > S t a t i c   T a g s \ I s   I m p l i c i t   M e a s u r e < / K e y > < / T a g I m p l i c i t M e a s u r e K e y > < T a g I n a c t i v e K e y > < K e y > S t a t i c   T a g s \ I n a c t i v e < / K e y > < / T a g I n a c t i v e K e y > < T a g P r e v i e w A c t i v e K e y > < K e y > S t a t i c   T a g s \ P r e v i e w   A c t i v e < / K e y > < / T a g P r e v i e w A c t i v e K e y > < T a g P r e v i e w I n a c t i v e K e y > < K e y > S t a t i c   T a g s \ P r e v i e w   I n a c t i v e < / K e y > < / T a g P r e v i e w I n a c t i v e K e y > < / D i s p l a y C o n t e x t > < D i s p l a y T y p e > D i a g r a m D i s p l a y < / D i s p l a y T y p e > < K e y   i : t y p e = " S a n d b o x E d i t o r D i a g r a m K e y " > < P e r s p e c t i v e / > < / K e y > < M a i n t a i n e r   i : t y p e = " E R D i a g r a m . E R D i a g r a m M a i n t a i n e r " > < A l l K e y s > < D i a g r a m O b j e c t K e y > < K e y > E R   D i a g r a m < / K e y > < / D i a g r a m O b j e c t K e y > < D i a g r a m O b j e c t K e y > < K e y > A c t i o n s \ D e l e t e < / K e y > < / D i a g r a m O b j e c t K e y > < D i a g r a m O b j e c t K e y > < K e y > A c t i o n s \ D e l e t e   f r o m   m o d e l < / K e y > < / D i a g r a m O b j e c t K e y > < D i a g r a m O b j e c t K e y > < K e y > A c t i o n s \ S e l e c t < / K e y > < / D i a g r a m O b j e c t K e y > < D i a g r a m O b j e c t K e y > < K e y > A c t i o n s \ C r e a t e   R e l a t i o n s h i p < / K e y > < / D i a g r a m O b j e c t K e y > < D i a g r a m O b j e c t K e y > < K e y > A c t i o n s \ L a u n c h   C r e a t e   R e l a t i o n s h i p   D i a l o g < / K e y > < / D i a g r a m O b j e c t K e y > < D i a g r a m O b j e c t K e y > < K e y > A c t i o n s \ L a u n c h   E d i t   R e l a t i o n s h i p   D i a l o g < / K e y > < / D i a g r a m O b j e c t K e y > < D i a g r a m O b j e c t K e y > < K e y > A c t i o n s \ C r e a t e   H i e r a r c h y   w i t h   L e v e l s < / K e y > < / D i a g r a m O b j e c t K e y > < D i a g r a m O b j e c t K e y > < K e y > A c t i o n s \ C r e a t e   E m p t y   H i e r a r c h y < / K e y > < / D i a g r a m O b j e c t K e y > < D i a g r a m O b j e c t K e y > < K e y > A c t i o n s \ R e m o v e   f r o m   H i e r a r c h y < / K e y > < / D i a g r a m O b j e c t K e y > < D i a g r a m O b j e c t K e y > < K e y > A c t i o n s \ R e n a m e   N o d e < / K e y > < / D i a g r a m O b j e c t K e y > < D i a g r a m O b j e c t K e y > < K e y > A c t i o n s \ M o v e   N o d e < / K e y > < / D i a g r a m O b j e c t K e y > < D i a g r a m O b j e c t K e y > < K e y > A c t i o n s \ H i d e   t h e   e n t i t y < / K e y > < / D i a g r a m O b j e c t K e y > < D i a g r a m O b j e c t K e y > < K e y > A c t i o n s \ U n h i d e   t h e   e n t i t y < / K e y > < / D i a g r a m O b j e c t K e y > < D i a g r a m O b j e c t K e y > < K e y > A c t i o n s \ G o T o < / K e y > < / D i a g r a m O b j e c t K e y > < D i a g r a m O b j e c t K e y > < K e y > A c t i o n s \ M o v e   U p < / K e y > < / D i a g r a m O b j e c t K e y > < D i a g r a m O b j e c t K e y > < K e y > A c t i o n s \ M o v e   D o w n < / K e y > < / D i a g r a m O b j e c t K e y > < D i a g r a m O b j e c t K e y > < K e y > A c t i o n s \ M a r k   R e l a t i o n s h i p   a s   A c t i v e < / K e y > < / D i a g r a m O b j e c t K e y > < D i a g r a m O b j e c t K e y > < K e y > A c t i o n s \ M a r k   R e l a t i o n s h i p   a s   I n a c t i v e < / K e y > < / D i a g r a m O b j e c t K e y > < D i a g r a m O b j e c t K e y > < K e y > A c t i o n s \ R e l a t i o n s h i p   C r o s s   F i l t e r   D i r e c t i o n   S i n g l e < / K e y > < / D i a g r a m O b j e c t K e y > < D i a g r a m O b j e c t K e y > < K e y > A c t i o n s \ R e l a t i o n s h i p   C r o s s   F i l t e r   D i r e c t i o n   B o t h < / K e y > < / D i a g r a m O b j e c t K e y > < D i a g r a m O b j e c t K e y > < K e y > A c t i o n s \ R e l a t i o n s h i p   E n d   P o i n t   M u l t i p l i c i t y   O n e < / K e y > < / D i a g r a m O b j e c t K e y > < D i a g r a m O b j e c t K e y > < K e y > A c t i o n s \ R e l a t i o n s h i p   E n d   P o i n t   M u l t i p l i c i t y   M a n y < / K e y > < / D i a g r a m O b j e c t K e y > < D i a g r a m O b j e c t K e y > < K e y > T a g G r o u p s \ N o d e   T y p e s < / K e y > < / D i a g r a m O b j e c t K e y > < D i a g r a m O b j e c t K e y > < K e y > T a g G r o u p s \ A d d i t i o n a l   I n f o   T y p e s < / K e y > < / D i a g r a m O b j e c t K e y > < D i a g r a m O b j e c t K e y > < K e y > T a g G r o u p s \ C a l c u l a t e d   C o l u m n s < / K e y > < / D i a g r a m O b j e c t K e y > < D i a g r a m O b j e c t K e y > < K e y > T a g G r o u p s \ W a r n i n g s < / K e y > < / D i a g r a m O b j e c t K e y > < D i a g r a m O b j e c t K e y > < K e y > T a g G r o u p s \ H i g h l i g h t   R e a s o n s < / K e y > < / D i a g r a m O b j e c t K e y > < D i a g r a m O b j e c t K e y > < K e y > T a g G r o u p s \ S t a t e < / K e y > < / D i a g r a m O b j e c t K e y > < D i a g r a m O b j e c t K e y > < K e y > T a g G r o u p s \ L i n k   R o l e s < / K e y > < / D i a g r a m O b j e c t K e y > < D i a g r a m O b j e c t K e y > < K e y > T a g G r o u p s \ L i n k   T y p e s < / K e y > < / D i a g r a m O b j e c t K e y > < D i a g r a m O b j e c t K e y > < K e y > T a g G r o u p s \ L i n k   S t a t e s < / K e y > < / D i a g r a m O b j e c t K e y > < D i a g r a m O b j e c t K e y > < K e y > D i a g r a m \ T a g G r o u p s \ D e l e t i o n   I m p a c t s < / K e y > < / D i a g r a m O b j e c t K e y > < D i a g r a m O b j e c t K e y > < K e y > T a g G r o u p s \ H i e r a r c h y   I d e n t i f i e r s < / K e y > < / D i a g r a m O b j e c t K e y > < D i a g r a m O b j e c t K e y > < K e y > T a g G r o u p s \ T a b l e   I d e n t i f i e r s < / K e y > < / D i a g r a m O b j e c t K e y > < D i a g r a m O b j e c t K e y > < K e y > T a g G r o u p s \ A c t i o n   D e s c r i p t o r s < / K e y > < / D i a g r a m O b j e c t K e y > < D i a g r a m O b j e c t K e y > < K e y > T a g G r o u p s \ H i n t   T e x t s < / K e y > < / D i a g r a m O b j e c t K e y > < D i a g r a m O b j e c t K e y > < K e y > S t a t i c   T a g s \ T a b l e 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 T a g s \ H i e r a r c h y < / K e y > < / D i a g r a m O b j e c t K e y > < D i a g r a m O b j e c t K e y > < K e y > S t a t i c   T a g s \ H i e r a r c h y L e v e l < / K e y > < / D i a g r a m O b j e c t K e y > < D i a g r a m O b j e c t K e y > < K e y > S t a t i c   T a g s \ K P I < / K e y > < / D i a g r a m O b j e c t K e y > < D i a g r a m O b j e c t K e y > < K e y > S t a t i c   T a g s \ A d d i t i o n a l   I n f o   f o r   S o u r c e   C o l u m n < / K e y > < / D i a g r a m O b j e c t K e y > < D i a g r a m O b j e c t K e y > < K e y > S t a t i c   T a g s \ C a l c u l a t e d   C o l u m n < / K e y > < / D i a g r a m O b j e c t K e y > < D i a g r a m O b j e c t K e y > < K e y > S t a t i c   T a g s \ E r r o r < / K e y > < / D i a g r a m O b j e c t K e y > < D i a g r a m O b j e c t K e y > < K e y > S t a t i c   T a g s \ N o t C a l c u l a t e d < / K e y > < / D i a g r a m O b j e c t K e y > < D i a g r a m O b j e c t K e y > < K e y > S t a t i c   T a g s \ I s   I m p l i c i t   M e a s u r e < / K e y > < / D i a g r a m O b j e c t K e y > < D i a g r a m O b j e c t K e y > < K e y > S t a t i c   T a g s \ R e l a t e d < / K e y > < / D i a g r a m O b j e c t K e y > < D i a g r a m O b j e c t K e y > < K e y > S t a t i c   T a g s \ D e l e t i n g < / K e y > < / D i a g r a m O b j e c t K e y > < D i a g r a m O b j e c t K e y > < K e y > S t a t i c   T a g s \ C r e a t i n g   V a l i d   R e l a t i o n s h i p < / K e y > < / D i a g r a m O b j e c t K e y > < D i a g r a m O b j e c t K e y > < K e y > S t a t i c   T a g s \ H i d d e n < / K e y > < / D i a g r a m O b j e c t K e y > < D i a g r a m O b j e c t K e y > < K e y > S t a t i c   T a g s \ L i n k e d   T a b l e   C o l u m n < / K e y > < / D i a g r a m O b j e c t K e y > < D i a g r a m O b j e c t K e y > < K e y > S t a t i c   T a g s \ I s   r e a d o n l y < / K e y > < / D i a g r a m O b j e c t K e y > < D i a g r a m O b j e c t K e y > < K e y > S t a t i c   T a g s \ F K < / K e y > < / D i a g r a m O b j e c t K e y > < D i a g r a m O b j e c t K e y > < K e y > S t a t i c   T a g s \ P K < / K e y > < / D i a g r a m O b j e c t K e y > < D i a g r a m O b j e c t K e y > < K e y > S t a t i c   T a g s \ R e l a t i o n s h i p < / K e y > < / D i a g r a m O b j e c t K e y > < D i a g r a m O b j e c t K e y > < K e y > S t a t i c   T a g s \ A c t i v e < / K e y > < / D i a g r a m O b j e c t K e y > < D i a g r a m O b j e c t K e y > < K e y > S t a t i c   T a g s \ I n a c t i v e < / K e y > < / D i a g r a m O b j e c t K e y > < D i a g r a m O b j e c t K e y > < K e y > S t a t i c   T a g s \ P r e v i e w   A c t i v e < / K e y > < / D i a g r a m O b j e c t K e y > < D i a g r a m O b j e c t K e y > < K e y > S t a t i c   T a g s \ P r e v i e w   I n a c t i v e < / K e y > < / D i a g r a m O b j e c t K e y > < D i a g r a m O b j e c t K e y > < K e y > S t a t i c   T a g s \ C r o s s F i l t e r D i r e c t i o n < / K e y > < / D i a g r a m O b j e c t K e y > < D i a g r a m O b j e c t K e y > < K e y > S t a t i c   T a g s \ C r o s s F i l t e r D i r e c t i o n S i n g l e < / K e y > < / D i a g r a m O b j e c t K e y > < D i a g r a m O b j e c t K e y > < K e y > S t a t i c   T a g s \ C r o s s F i l t e r D i r e c t i o n B o t h < / K e y > < / D i a g r a m O b j e c t K e y > < D i a g r a m O b j e c t K e y > < K e y > S t a t i c   T a g s \ E n d P o i n t M u l t i p l i c i t y O n e < / K e y > < / D i a g r a m O b j e c t K e y > < D i a g r a m O b j e c t K e y > < K e y > S t a t i c   T a g s \ E n d P o i n t M u l t i p l i c i t y M a n y < / K e y > < / D i a g r a m O b j e c t K e y > < D i a g r a m O b j e c t K e y > < K e y > D i a g r a m \ T a g G r o u p s \ H i g h l i g h t   R e a s o n s \ T a g s \ H a r d   D e l e t i o n   I m p a c t < / K e y > < / D i a g r a m O b j e c t K e y > < D i a g r a m O b j e c t K e y > < K e y > D i a g r a m \ T a g G r o u p s \ H i g h l i g h t   R e a s o n s \ T a g s \ M i n i m u m   D e l e t i o n   I m p a c t < / K e y > < / D i a g r a m O b j e c t K e y > < D i a g r a m O b j e c t K e y > < K e y > S t a t i c   T a g s \ C a n   b e   p a r t   o f   r e l a t i o n s h i p < / K e y > < / D i a g r a m O b j e c t K e y > < D i a g r a m O b j e c t K e y > < K e y > S t a t i c   T a g s \ H i n t   T e x t < / K e y > < / D i a g r a m O b j e c t K e y > < D i a g r a m O b j e c t K e y > < K e y > D y n a m i c   T a g s \ T a b l e s \ & l t ; T a b l e s \ T _ T r a n s a c t i o n s & g t ; < / K e y > < / D i a g r a m O b j e c t K e y > < D i a g r a m O b j e c t K e y > < K e y > D y n a m i c   T a g s \ T a b l e s \ & l t ; T a b l e s \ T _ C o n t r i b u t i o n s & g t ; < / K e y > < / D i a g r a m O b j e c t K e y > < D i a g r a m O b j e c t K e y > < K e y > D y n a m i c   T a g s \ T a b l e s \ & l t ; T a b l e s \ T _ P a r t i c i p a n t s & g t ; < / K e y > < / D i a g r a m O b j e c t K e y > < D i a g r a m O b j e c t K e y > < K e y > T a b l e s \ T _ T r a n s a c t i o n s < / K e y > < / D i a g r a m O b j e c t K e y > < D i a g r a m O b j e c t K e y > < K e y > T a b l e s \ T _ T r a n s a c t i o n s \ C o l u m n s \ D a t e < / K e y > < / D i a g r a m O b j e c t K e y > < D i a g r a m O b j e c t K e y > < K e y > T a b l e s \ T _ T r a n s a c t i o n s \ C o l u m n s \ T r a n s a c t i o n < / K e y > < / D i a g r a m O b j e c t K e y > < D i a g r a m O b j e c t K e y > < K e y > T a b l e s \ T _ T r a n s a c t i o n s \ C o l u m n s \ A m o u n t < / K e y > < / D i a g r a m O b j e c t K e y > < D i a g r a m O b j e c t K e y > < K e y > T a b l e s \ T _ T r a n s a c t i o n s \ C o l u m n s \ C u r r e n c y < / K e y > < / D i a g r a m O b j e c t K e y > < D i a g r a m O b j e c t K e y > < K e y > T a b l e s \ T _ T r a n s a c t i o n s \ C o l u m n s \ S i g n < / K e y > < / D i a g r a m O b j e c t K e y > < D i a g r a m O b j e c t K e y > < K e y > T a b l e s \ T _ T r a n s a c t i o n s \ C o l u m n s \ V a l u e < / K e y > < / D i a g r a m O b j e c t K e y > < D i a g r a m O b j e c t K e y > < K e y > T a b l e s \ T _ T r a n s a c t i o n s \ C o l u m n s \ P a r t i c i p a n t < / K e y > < / D i a g r a m O b j e c t K e y > < D i a g r a m O b j e c t K e y > < K e y > T a b l e s \ T _ T r a n s a c t i o n s \ C o l u m n s \ P a y m e n t   M e t h o d < / K e y > < / D i a g r a m O b j e c t K e y > < D i a g r a m O b j e c t K e y > < K e y > T a b l e s \ T _ T r a n s a c t i o n s \ C o l u m n s \ P a y m e n t   T e r m s < / K e y > < / D i a g r a m O b j e c t K e y > < D i a g r a m O b j e c t K e y > < K e y > T a b l e s \ T _ T r a n s a c t i o n s \ C o l u m n s \ A c c o u t < / K e y > < / D i a g r a m O b j e c t K e y > < D i a g r a m O b j e c t K e y > < K e y > T a b l e s \ T _ T r a n s a c t i o n s \ C o l u m n s \ D e t a i l s < / K e y > < / D i a g r a m O b j e c t K e y > < D i a g r a m O b j e c t K e y > < K e y > T a b l e s \ T _ T r a n s a c t i o n s \ C o l u m n s \ Q u a n t i t y < / K e y > < / D i a g r a m O b j e c t K e y > < D i a g r a m O b j e c t K e y > < K e y > T a b l e s \ T _ T r a n s a c t i o n s \ C o l u m n s \ U n i t < / K e y > < / D i a g r a m O b j e c t K e y > < D i a g r a m O b j e c t K e y > < K e y > T a b l e s \ T _ T r a n s a c t i o n s \ C o l u m n s \ P r i c e < / K e y > < / D i a g r a m O b j e c t K e y > < D i a g r a m O b j e c t K e y > < K e y > T a b l e s \ T _ C o n t r i b u t i o n s < / K e y > < / D i a g r a m O b j e c t K e y > < D i a g r a m O b j e c t K e y > < K e y > T a b l e s \ T _ C o n t r i b u t i o n s \ C o l u m n s \ C o n t r i b u t i o n < / K e y > < / D i a g r a m O b j e c t K e y > < D i a g r a m O b j e c t K e y > < K e y > T a b l e s \ T _ C o n t r i b u t i o n s \ C o l u m n s \ T y p e   C o n t r i b u t i o n < / K e y > < / D i a g r a m O b j e c t K e y > < D i a g r a m O b j e c t K e y > < K e y > T a b l e s \ T _ C o n t r i b u t i o n s \ C o l u m n s \ C a t � g o r i e   C o n t r i b u t i o n < / K e y > < / D i a g r a m O b j e c t K e y > < D i a g r a m O b j e c t K e y > < K e y > T a b l e s \ T _ C o n t r i b u t i o n s \ C o l u m n s \ S i g n < / K e y > < / D i a g r a m O b j e c t K e y > < D i a g r a m O b j e c t K e y > < K e y > T a b l e s \ T _ C o n t r i b u t i o n s \ C o l u m n s \ N i v e a u   C o n t r i b u t i o n < / K e y > < / D i a g r a m O b j e c t K e y > < D i a g r a m O b j e c t K e y > < K e y > T a b l e s \ T _ P a r t i c i p a n t s < / K e y > < / D i a g r a m O b j e c t K e y > < D i a g r a m O b j e c t K e y > < K e y > T a b l e s \ T _ P a r t i c i p a n t s \ C o l u m n s \ P a r t i c i p a n t < / K e y > < / D i a g r a m O b j e c t K e y > < D i a g r a m O b j e c t K e y > < K e y > T a b l e s \ T _ P a r t i c i p a n t s \ C o l u m n s \ P a r t i c i p a n t   T y p e < / K e y > < / D i a g r a m O b j e c t K e y > < D i a g r a m O b j e c t K e y > < K e y > T a b l e s \ T _ P a r t i c i p a n t s \ C o l u m n s \ P a r t i c i p a n t   C a t e g o r y < / K e y > < / D i a g r a m O b j e c t K e y > < D i a g r a m O b j e c t K e y > < K e y > T a b l e s \ T _ P a r t i c i p a n t s \ C o l u m n s \ P a t i c i p a n t   L e v e l < / K e y > < / D i a g r a m O b j e c t K e y > < D i a g r a m O b j e c t K e y > < K e y > T a b l e s \ T _ P a r t i c i p a n t s \ C o l u m n s \ C o n t r i b u t i o n < / K e y > < / D i a g r a m O b j e c t K e y > < D i a g r a m O b j e c t K e y > < K e y > T a b l e s \ T _ P a r t i c i p a n t s \ C o l u m n s \ N i v e a u   C o n t r i b u t i o n < / K e y > < / D i a g r a m O b j e c t K e y > < D i a g r a m O b j e c t K e y > < K e y > R e l a t i o n s h i p s \ & l t ; T a b l e s \ T _ T r a n s a c t i o n s \ C o l u m n s \ T r a n s a c t i o n & g t ; - & l t ; T a b l e s \ T _ C o n t r i b u t i o n s \ C o l u m n s \ C o n t r i b u t i o n & g t ; < / K e y > < / D i a g r a m O b j e c t K e y > < D i a g r a m O b j e c t K e y > < K e y > R e l a t i o n s h i p s \ & l t ; T a b l e s \ T _ T r a n s a c t i o n s \ C o l u m n s \ T r a n s a c t i o n & g t ; - & l t ; T a b l e s \ T _ C o n t r i b u t i o n s \ C o l u m n s \ C o n t r i b u t i o n & g t ; \ F K < / K e y > < / D i a g r a m O b j e c t K e y > < D i a g r a m O b j e c t K e y > < K e y > R e l a t i o n s h i p s \ & l t ; T a b l e s \ T _ T r a n s a c t i o n s \ C o l u m n s \ T r a n s a c t i o n & g t ; - & l t ; T a b l e s \ T _ C o n t r i b u t i o n s \ C o l u m n s \ C o n t r i b u t i o n & g t ; \ P K < / K e y > < / D i a g r a m O b j e c t K e y > < D i a g r a m O b j e c t K e y > < K e y > R e l a t i o n s h i p s \ & l t ; T a b l e s \ T _ T r a n s a c t i o n s \ C o l u m n s \ T r a n s a c t i o n & g t ; - & l t ; T a b l e s \ T _ C o n t r i b u t i o n s \ C o l u m n s \ C o n t r i b u t i o n & g t ; \ C r o s s F i l t e r < / K e y > < / D i a g r a m O b j e c t K e y > < D i a g r a m O b j e c t K e y > < K e y > R e l a t i o n s h i p s \ & l t ; T a b l e s \ T _ T r a n s a c t i o n s \ C o l u m n s \ P a r t i c i p a n t & g t ; - & l t ; T a b l e s \ T _ P a r t i c i p a n t s \ C o l u m n s \ P a r t i c i p a n t & g t ; < / K e y > < / D i a g r a m O b j e c t K e y > < D i a g r a m O b j e c t K e y > < K e y > R e l a t i o n s h i p s \ & l t ; T a b l e s \ T _ T r a n s a c t i o n s \ C o l u m n s \ P a r t i c i p a n t & g t ; - & l t ; T a b l e s \ T _ P a r t i c i p a n t s \ C o l u m n s \ P a r t i c i p a n t & g t ; \ F K < / K e y > < / D i a g r a m O b j e c t K e y > < D i a g r a m O b j e c t K e y > < K e y > R e l a t i o n s h i p s \ & l t ; T a b l e s \ T _ T r a n s a c t i o n s \ C o l u m n s \ P a r t i c i p a n t & g t ; - & l t ; T a b l e s \ T _ P a r t i c i p a n t s \ C o l u m n s \ P a r t i c i p a n t & g t ; \ P K < / K e y > < / D i a g r a m O b j e c t K e y > < D i a g r a m O b j e c t K e y > < K e y > R e l a t i o n s h i p s \ & l t ; T a b l e s \ T _ T r a n s a c t i o n s \ C o l u m n s \ P a r t i c i p a n t & g t ; - & l t ; T a b l e s \ T _ P a r t i c i p a n t s \ C o l u m n s \ P a r t i c i p a n t & g t ; \ C r o s s F i l t e r < / K e y > < / D i a g r a m O b j e c t K e y > < / A l l K e y s > < S e l e c t e d K e y s > < D i a g r a m O b j e c t K e y > < K e y > R e l a t i o n s h i p s \ & l t ; T a b l e s \ T _ T r a n s a c t i o n s \ C o l u m n s \ P a r t i c i p a n t & g t ; - & l t ; T a b l e s \ T _ P a r t i c i p a n t s \ C o l u m n s \ P a r t i c i p a n t & g t ; \ C r o s s F i l t e r < / K e y > < / D i a g r a m O b j e c t K e y > < / S e l e c t e d K e y s > < / M a i n t a i n e r > < V i e w S t a t e F a c t o r y T y p e > M i c r o s o f t . A n a l y s i s S e r v i c e s . C o m m o n . D i a g r a m D i s p l a y V i e w S t a t e F a c t o r y 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 E R   D i a g r a m < / K e y > < / a : K e y > < a : V a l u e   i : t y p e = " D i a g r a m D i s p l a y D i a g r a m V i e w S t a t e " > < L a y e d O u t > t r u e < / L a y e d O u t > < Z o o m P e r c e n t > 1 0 0 < / Z o o m P e r c e n t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 A c t i o n s \ D e l e t e   f r o m   m o d e l 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 A c t i o n s \ S e l e c t 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 R e l a t i o n s h i p 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 C r e a t e 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 E d i t 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 H i e r a r c h y   w i t h   L e v e l s 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 E m p t y 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 f r o m 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 A c t i o n s \ R e n a m e 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 A c t i o n s \ G o T o 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 U p 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 D o w n 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 I n a c t i v e 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 S i n g l e 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 B o t h 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 O n e 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 M a n y 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 T a g G r o u p s \ A d d i t i o n a l   I n f o 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 T a g G r o u p s \ C a l c u l a t e d   C o l u m n s 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 T a g G r o u p s \ W a r n i n g s 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 T a g G r o u p s \ H i g h l i g h t   R e a s o n s 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 R o l e s 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 S t a t e s 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 D i a g r a m \ T a g G r o u p s \ D e l e t i o n   I m p a c t s 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 T a g G r o u p s \ H i e r a r c h y 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 T a g G r o u p s \ T a b l e 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 T a g G r o u p s \ A c t i o n   D e s c r i p t o r s 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 T a g G r o u p s \ H i n t   T e x t s 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 T a g s \ T a b l e 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 T a g s \ H i e r a r c h y L e v e l 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 T a g s \ A d d i t i o n a l   I n f o   f o r   S o u r c e 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 T a g s \ C a l c u l a t e d 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 T a g s \ E r r o r 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 T a g s \ N o t C a l c u l a t e d 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 T a g s \ D e l e t i n g 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 T a g s \ C r e a t i n g   V a l i d 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 T a g s \ L i n k e d   T a b l e 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 T a g s \ F K 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 T a g s \ C r o s s F i l t e r D i r e c t i o n S i n g l e 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 T a g s \ C r o s s F i l t e r D i r e c t i o n B o t h 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 T a g s \ E n d P o i n t M u l t i p l i c i t y O n e 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 T a g s \ E n d P o i n t M u l t i p l i c i t y M a n y 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 R e a s o n s \ T a g s \ H a r d 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 R e a s o n s \ T a g s \ M i n i m u m 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 T a g s \ C a n   b e   p a r t   o f 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 T a g s \ H i n t   T e x t 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 T a g s \ T a b l e s \ & l t ; T a b l e s \ T _ T r a n s a c t i o n s & g t ; 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 T a g s \ T a b l e s \ & l t ; T a b l e s \ T _ C o n t r i b u t i o n s & g t ; 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 T a g s \ T a b l e s \ & l t ; T a b l e s \ T _ P a r t i c i p a n t s & g t ; 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 T a b l e s \ T _ T r a n s a c t i o n s < / K e y > < / a : K e y > < a : V a l u e   i : t y p e = " D i a g r a m D i s p l a y N o d e V i e w S t a t e " > < H e i g h t > 4 1 8 < / H e i g h t > < I s E x p a n d e d > t r u e < / I s E x p a n d e d > < L a y e d O u t > t r u e < / L a y e d O u t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 T a b l e s \ T _ T r a n s a c t i o n s \ C o l u m n s \ D a t e 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 T a b l e s \ T _ T r a n s a c t i o n s \ C o l u m n s \ T r a n s a c t i o n 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 T a b l e s \ T _ T r a n s a c t i o n s \ C o l u m n s \ A m o u n t 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 T a b l e s \ T _ T r a n s a c t i o n s \ C o l u m n s \ C u r r e n c y 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 T a b l e s \ T _ T r a n s a c t i o n s \ C o l u m n s \ S i g n 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 T a b l e s \ T _ T r a n s a c t i o n s \ C o l u m n s \ V a l u e 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 T a b l e s \ T _ T r a n s a c t i o n s \ C o l u m n s \ P a r t i c i p a n t 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 T a b l e s \ T _ T r a n s a c t i o n s \ C o l u m n s \ P a y m e n t   M e t h o d 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 T a b l e s \ T _ T r a n s a c t i o n s \ C o l u m n s \ P a y m e n t   T e r m s 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 T a b l e s \ T _ T r a n s a c t i o n s \ C o l u m n s \ A c c o u t 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 T a b l e s \ T _ T r a n s a c t i o n s \ C o l u m n s \ D e t a i l s 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 T a b l e s \ T _ T r a n s a c t i o n s \ C o l u m n s \ Q u a n t i t y 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 T a b l e s \ T _ T r a n s a c t i o n s \ C o l u m n s \ U n i t 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 T a b l e s \ T _ T r a n s a c t i o n s \ C o l u m n s \ P r i c e 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 T a b l e s \ T _ C o n t r i b u t i o n s < / K e y > < / a : K e y > < a : V a l u e   i : t y p e = " D i a g r a m D i s p l a y N o d e V i e w S t a t e " > < H e i g h t > 2 8 0 < / H e i g h t > < I s E x p a n d e d > t r u e < / I s E x p a n d e d > < L a y e d O u t > t r u e < / L a y e d O u t > < L e f t > 3 4 7 < / L e f t > < T a b I n d e x > 2 < / T a b I n d e x > < T o p > 2 0 2 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 T a b l e s \ T _ C o n t r i b u t i o n s \ C o l u m n s \ C o n t r i b u t i o n 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 T a b l e s \ T _ C o n t r i b u t i o n s \ C o l u m n s \ T y p e   C o n t r i b u t i o n 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 T a b l e s \ T _ C o n t r i b u t i o n s \ C o l u m n s \ C a t � g o r i e   C o n t r i b u t i o n 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 T a b l e s \ T _ C o n t r i b u t i o n s \ C o l u m n s \ S i g n 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 T a b l e s \ T _ C o n t r i b u t i o n s \ C o l u m n s \ N i v e a u   C o n t r i b u t i o n 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 T a b l e s \ T _ P a r t i c i p a n t s < / K e y > < / a : K e y > < a : V a l u e   i : t y p e = " D i a g r a m D i s p l a y N o d e V i e w S t a t e " > < H e i g h t > 1 5 0 < / H e i g h t > < I s E x p a n d e d > t r u e < / I s E x p a n d e d > < I s F o c u s e d > t r u e < / I s F o c u s e d > < L a y e d O u t > t r u e < / L a y e d O u t > < L e f t > 3 4 6 < / L e f t > < T a b I n d e x > 1 < / T a b I n d e x > < T o p > 4 0 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 T a b l e s \ T _ P a r t i c i p a n t s \ C o l u m n s \ P a r t i c i p a n t 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 T a b l e s \ T _ P a r t i c i p a n t s \ C o l u m n s \ P a r t i c i p a n t   T y p e 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 T a b l e s \ T _ P a r t i c i p a n t s \ C o l u m n s \ P a r t i c i p a n t   C a t e g o r y 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 T a b l e s \ T _ P a r t i c i p a n t s \ C o l u m n s \ P a t i c i p a n t   L e v e l 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 T a b l e s \ T _ P a r t i c i p a n t s \ C o l u m n s \ C o n t r i b u t i o n 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 T a b l e s \ T _ P a r t i c i p a n t s \ C o l u m n s \ N i v e a u   C o n t r i b u t i o n 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 R e l a t i o n s h i p s \ & l t ; T a b l e s \ T _ T r a n s a c t i o n s \ C o l u m n s \ T r a n s a c t i o n & g t ; - & l t ; T a b l e s \ T _ C o n t r i b u t i o n s \ C o l u m n s \ C o n t r i b u t i o n & g t ; < / K e y > < / a : K e y > < a : V a l u e   i : t y p e = " D i a g r a m D i s p l a y L i n k V i e w S t a t e " > < A u t o m a t i o n P r o p e r t y H e l p e r T e x t > E n d   p o i n t   1 :   ( 2 1 6 , 2 1 9 ) .   E n d   p o i n t   2 :   ( 3 3 1 , 3 4 2 ) 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 2 1 6 < / b : _ x > < b : _ y > 2 1 9 < / b : _ y > < / b : P o i n t > < b : P o i n t > < b : _ x > 2 7 1 . 5 < / b : _ x > < b : _ y > 2 1 9 < / b : _ y > < / b : P o i n t > < b : P o i n t > < b : _ x > 2 7 3 . 5 < / b : _ x > < b : _ y > 2 2 1 < / b : _ y > < / b : P o i n t > < b : P o i n t > < b : _ x > 2 7 3 . 5 < / b : _ x > < b : _ y > 3 4 0 < / b : _ y > < / b : P o i n t > < b : P o i n t > < b : _ x > 2 7 5 . 5 < / b : _ x > < b : _ y > 3 4 2 < / b : _ y > < / b : P o i n t > < b : P o i n t > < b : _ x > 3 3 1 < / b : _ x > < b : _ y > 3 4 2 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 R e l a t i o n s h i p s \ & l t ; T a b l e s \ T _ T r a n s a c t i o n s \ C o l u m n s \ T r a n s a c t i o n & g t ; - & l t ; T a b l e s \ T _ C o n t r i b u t i o n s \ C o l u m n s \ C o n t r i b u t i o n & g t ; \ F K 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 2 0 0 < / b : _ x > < b : _ y > 2 1 1 < / b : _ y > < / L a b e l L o c a t i o n > < L o c a t i o n   x m l n s : b = " h t t p : / / s c h e m a s . d a t a c o n t r a c t . o r g / 2 0 0 4 / 0 7 / S y s t e m . W i n d o w s " > < b : _ x > 2 0 0 < / b : _ x > < b : _ y > 2 1 9 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 R e l a t i o n s h i p s \ & l t ; T a b l e s \ T _ T r a n s a c t i o n s \ C o l u m n s \ T r a n s a c t i o n & g t ; - & l t ; T a b l e s \ T _ C o n t r i b u t i o n s \ C o l u m n s \ C o n t r i b u t i o n & g t ; \ P K 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 3 3 1 < / b : _ x > < b : _ y > 3 3 4 < / b : _ y > < / L a b e l L o c a t i o n > < L o c a t i o n   x m l n s : b = " h t t p : / / s c h e m a s . d a t a c o n t r a c t . o r g / 2 0 0 4 / 0 7 / S y s t e m . W i n d o w s " > < b : _ x > 3 4 7 < / b : _ x > < b : _ y > 3 4 2 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 R e l a t i o n s h i p s \ & l t ; T a b l e s \ T _ T r a n s a c t i o n s \ C o l u m n s \ T r a n s a c t i o n & g t ; - & l t ; T a b l e s \ T _ C o n t r i b u t i o n s \ C o l u m n s \ C o n t r i b u t i o n & g t ; \ C r o s s F i l t e r 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 2 1 6 < / b : _ x > < b : _ y > 2 1 9 < / b : _ y > < / b : P o i n t > < b : P o i n t > < b : _ x > 2 7 1 . 5 < / b : _ x > < b : _ y > 2 1 9 < / b : _ y > < / b : P o i n t > < b : P o i n t > < b : _ x > 2 7 3 . 5 < / b : _ x > < b : _ y > 2 2 1 < / b : _ y > < / b : P o i n t > < b : P o i n t > < b : _ x > 2 7 3 . 5 < / b : _ x > < b : _ y > 3 4 0 < / b : _ y > < / b : P o i n t > < b : P o i n t > < b : _ x > 2 7 5 . 5 < / b : _ x > < b : _ y > 3 4 2 < / b : _ y > < / b : P o i n t > < b : P o i n t > < b : _ x > 3 3 1 < / b : _ x > < b : _ y > 3 4 2 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 R e l a t i o n s h i p s \ & l t ; T a b l e s \ T _ T r a n s a c t i o n s \ C o l u m n s \ P a r t i c i p a n t & g t ; - & l t ; T a b l e s \ T _ P a r t i c i p a n t s \ C o l u m n s \ P a r t i c i p a n t & g t ; < / K e y > < / a : K e y > < a : V a l u e   i : t y p e = " D i a g r a m D i s p l a y L i n k V i e w S t a t e " > < A u t o m a t i o n P r o p e r t y H e l p e r T e x t > E n d   p o i n t   1 :   ( 2 1 6 , 1 9 9 ) .   E n d   p o i n t   2 :   ( 3 3 0 , 1 1 5 ) 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 2 1 6 < / b : _ x > < b : _ y > 1 9 9 < / b : _ y > < / b : P o i n t > < b : P o i n t > < b : _ x > 2 7 1 < / b : _ x > < b : _ y > 1 9 9 < / b : _ y > < / b : P o i n t > < b : P o i n t > < b : _ x > 2 7 3 < / b : _ x > < b : _ y > 1 9 7 < / b : _ y > < / b : P o i n t > < b : P o i n t > < b : _ x > 2 7 3 < / b : _ x > < b : _ y > 1 1 7 < / b : _ y > < / b : P o i n t > < b : P o i n t > < b : _ x > 2 7 5 < / b : _ x > < b : _ y > 1 1 5 < / b : _ y > < / b : P o i n t > < b : P o i n t > < b : _ x > 3 3 0 . 0 0 0 0 0 0 0 0 0 0 0 0 0 6 < / b : _ x > < b : _ y > 1 1 5 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 R e l a t i o n s h i p s \ & l t ; T a b l e s \ T _ T r a n s a c t i o n s \ C o l u m n s \ P a r t i c i p a n t & g t ; - & l t ; T a b l e s \ T _ P a r t i c i p a n t s \ C o l u m n s \ P a r t i c i p a n t & g t ; \ F K 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 2 0 0 < / b : _ x > < b : _ y > 1 9 1 < / b : _ y > < / L a b e l L o c a t i o n > < L o c a t i o n   x m l n s : b = " h t t p : / / s c h e m a s . d a t a c o n t r a c t . o r g / 2 0 0 4 / 0 7 / S y s t e m . W i n d o w s " > < b : _ x > 2 0 0 < / b : _ x > < b : _ y > 1 9 9 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 R e l a t i o n s h i p s \ & l t ; T a b l e s \ T _ T r a n s a c t i o n s \ C o l u m n s \ P a r t i c i p a n t & g t ; - & l t ; T a b l e s \ T _ P a r t i c i p a n t s \ C o l u m n s \ P a r t i c i p a n t & g t ; \ P K 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 3 3 0 . 0 0 0 0 0 0 0 0 0 0 0 0 0 6 < / b : _ x > < b : _ y > 1 0 7 < / b : _ y > < / L a b e l L o c a t i o n > < L o c a t i o n   x m l n s : b = " h t t p : / / s c h e m a s . d a t a c o n t r a c t . o r g / 2 0 0 4 / 0 7 / S y s t e m . W i n d o w s " > < b : _ x > 3 4 6 . 0 0 0 0 0 0 0 0 0 0 0 0 0 6 < / b : _ x > < b : _ y > 1 1 5 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 R e l a t i o n s h i p s \ & l t ; T a b l e s \ T _ T r a n s a c t i o n s \ C o l u m n s \ P a r t i c i p a n t & g t ; - & l t ; T a b l e s \ T _ P a r t i c i p a n t s \ C o l u m n s \ P a r t i c i p a n t & g t ; \ C r o s s F i l t e r 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 2 1 6 < / b : _ x > < b : _ y > 1 9 9 < / b : _ y > < / b : P o i n t > < b : P o i n t > < b : _ x > 2 7 1 < / b : _ x > < b : _ y > 1 9 9 < / b : _ y > < / b : P o i n t > < b : P o i n t > < b : _ x > 2 7 3 < / b : _ x > < b : _ y > 1 9 7 < / b : _ y > < / b : P o i n t > < b : P o i n t > < b : _ x > 2 7 3 < / b : _ x > < b : _ y > 1 1 7 < / b : _ y > < / b : P o i n t > < b : P o i n t > < b : _ x > 2 7 5 < / b : _ x > < b : _ y > 1 1 5 < / b : _ y > < / b : P o i n t > < b : P o i n t > < b : _ x > 3 3 0 . 0 0 0 0 0 0 0 0 0 0 0 0 0 6 < / b : _ x > < b : _ y > 1 1 5 < / b : _ y > < / b : P o i n t > < / P o i n t s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 T _ T r a n s a c t i o n s 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 T _ C o n t r i b u t i o n s 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 T _ P a r t i c i p a n t s < / K e y > < V a l u e   x m l n s : a = " h t t p : / / s c h e m a s . d a t a c o n t r a c t . o r g / 2 0 0 4 / 0 7 / M i c r o s o f t . A n a l y s i s S e r v i c e s . C o m m o n " > < a : H a s F o c u s > f a l s e 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 T _ T r a n s a c t i o n s 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 T _ T r a n s a c t i o n s 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 C o l u m n s \ T r a n s a c t i o n 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 C o l u m n s \ A m o u n t 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 C o l u m n s \ C u r r e n c y 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 C o l u m n s \ S i g n 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 C o l u m n s \ V a l u e 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 C o l u m n s \ P a r t i c i p a n t 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 C o l u m n s \ P a y m e n t   M e t h o d 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 C o l u m n s \ P a y m e n t   T e r m s 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 C o l u m n s \ A c c o u t 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 C o l u m n s \ D e t a i l s 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 C o l u m n s \ Q u a n t i t y 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 C o l u m n s \ U n i t 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 C o l u m n s \ P r i c e 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 T _ C o n t r i b u t i o n s 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 T _ C o n t r i b u t i o n s 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 C o l u m n s \ C o n t r i b u t i o n 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 C o l u m n s \ T y p e   C o n t r i b u t i o n 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 C o l u m n s \ C a t � g o r i e   C o n t r i b u t i o n 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 C o l u m n s \ S i g n 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 C o l u m n s \ N i v e a u   C o n t r i b u t i o n 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 T _ P a r t i c i p a n t s 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 T _ P a r t i c i p a n t s 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 C o l u m n s \ P a r t i c i p a n t 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 C o l u m n s \ P a r t i c i p a n t 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 C o l u m n s \ P a r t i c i p a n t   C a t e g o r y 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 C o l u m n s \ P a t i c i p a n t   L e v e l 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 C o l u m n s \ C o n t r i b u t i o n 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 C o l u m n s \ N i v e a u   C o n t r i b u t i o n 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T a b l e X M L _ T _ T r a n s a c t i o n s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> < i t e m > < k e y > < s t r i n g > D a t e < / s t r i n g > < / k e y > < v a l u e > < s t r i n g > D a t e < / s t r i n g > < / v a l u e > < / i t e m > < i t e m > < k e y > < s t r i n g > T r a n s a c t i o n < / s t r i n g > < / k e y > < v a l u e > < s t r i n g > W C h a r < / s t r i n g > < / v a l u e > < / i t e m > < i t e m > < k e y > < s t r i n g > A m o u n t < / s t r i n g > < / k e y > < v a l u e > < s t r i n g > B i g I n t < / s t r i n g > < / v a l u e > < / i t e m > < i t e m > < k e y > < s t r i n g > C u r r e n c y < / s t r i n g > < / k e y > < v a l u e > < s t r i n g > W C h a r < / s t r i n g > < / v a l u e > < / i t e m > < i t e m > < k e y > < s t r i n g > S i g n < / s t r i n g > < / k e y > < v a l u e > < s t r i n g > B i g I n t < / s t r i n g > < / v a l u e > < / i t e m > < i t e m > < k e y > < s t r i n g > V a l u e < / s t r i n g > < / k e y > < v a l u e > < s t r i n g > B i g I n t < / s t r i n g > < / v a l u e > < / i t e m > < i t e m > < k e y > < s t r i n g > P a r t i c i p a n t < / s t r i n g > < / k e y > < v a l u e > < s t r i n g > W C h a r < / s t r i n g > < / v a l u e > < / i t e m > < i t e m > < k e y > < s t r i n g > P a y m e n t   M e t h o d < / s t r i n g > < / k e y > < v a l u e > < s t r i n g > W C h a r < / s t r i n g > < / v a l u e > < / i t e m > < i t e m > < k e y > < s t r i n g > P a y m e n t   T e r m s < / s t r i n g > < / k e y > < v a l u e > < s t r i n g > W C h a r < / s t r i n g > < / v a l u e > < / i t e m > < i t e m > < k e y > < s t r i n g > A c c o u t < / s t r i n g > < / k e y > < v a l u e > < s t r i n g > W C h a r < / s t r i n g > < / v a l u e > < / i t e m > < i t e m > < k e y > < s t r i n g > D e t a i l s < / s t r i n g > < / k e y > < v a l u e > < s t r i n g > W C h a r < / s t r i n g > < / v a l u e > < / i t e m > < i t e m > < k e y > < s t r i n g > Q u a n t i t y < / s t r i n g > < / k e y > < v a l u e > < s t r i n g > B i g I n t < / s t r i n g > < / v a l u e > < / i t e m > < i t e m > < k e y > < s t r i n g > U n i t < / s t r i n g > < / k e y > < v a l u e > < s t r i n g > W C h a r < / s t r i n g > < / v a l u e > < / i t e m > < i t e m > < k e y > < s t r i n g > P r i c e < / s t r i n g > < / k e y > < v a l u e > < s t r i n g > B i g I n t < / s t r i n g > < / v a l u e > < / i t e m > < / C o l u m n S u g g e s t e d T y p e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 D a t e < / s t r i n g > < / k e y > < v a l u e > < i n t > 6 5 < / i n t > < / v a l u e > < / i t e m > < i t e m > < k e y > < s t r i n g > T r a n s a c t i o n < / s t r i n g > < / k e y > < v a l u e > < i n t > 1 0 5 < / i n t > < / v a l u e > < / i t e m > < i t e m > < k e y > < s t r i n g > A m o u n t < / s t r i n g > < / k e y > < v a l u e > < i n t > 8 6 < / i n t > < / v a l u e > < / i t e m > < i t e m > < k e y > < s t r i n g > C u r r e n c y < / s t r i n g > < / k e y > < v a l u e > < i n t > 9 1 < / i n t > < / v a l u e > < / i t e m > < i t e m > < k e y > < s t r i n g > S i g n < / s t r i n g > < / k e y > < v a l u e > < i n t > 6 2 < / i n t > < / v a l u e > < / i t e m > < i t e m > < k e y > < s t r i n g > V a l u e < / s t r i n g > < / k e y > < v a l u e > < i n t > 7 1 < / i n t > < / v a l u e > < / i t e m > < i t e m > < k e y > < s t r i n g > P a r t i c i p a n t < / s t r i n g > < / k e y > < v a l u e > < i n t > 1 0 2 < / i n t > < / v a l u e > < / i t e m > < i t e m > < k e y > < s t r i n g > P a y m e n t   M e t h o d < / s t r i n g > < / k e y > < v a l u e > < i n t > 1 4 3 < / i n t > < / v a l u e > < / i t e m > < i t e m > < k e y > < s t r i n g > P a y m e n t   T e r m s < / s t r i n g > < / k e y > < v a l u e > < i n t > 1 3 1 < / i n t > < / v a l u e > < / i t e m > < i t e m > < k e y > < s t r i n g > A c c o u t < / s t r i n g > < / k e y > < v a l u e > < i n t > 7 8 < / i n t > < / v a l u e > < / i t e m > < i t e m > < k e y > < s t r i n g > D e t a i l s < / s t r i n g > < / k e y > < v a l u e > < i n t > 7 9 < / i n t > < / v a l u e > < / i t e m > < i t e m > < k e y > < s t r i n g > Q u a n t i t y < / s t r i n g > < / k e y > < v a l u e > < i n t > 8 9 < / i n t > < / v a l u e > < / i t e m > < i t e m > < k e y > < s t r i n g > U n i t < / s t r i n g > < / k e y > < v a l u e > < i n t > 6 2 < / i n t > < / v a l u e > < / i t e m > < i t e m > < k e y > < s t r i n g > P r i c e < / s t r i n g > < / k e y > < v a l u e > < i n t > 6 7 < / i n t > < / v a l u e > < / i t e m > < / C o l u m n W i d t h s > < C o l u m n D i s p l a y I n d e x > < i t e m > < k e y > < s t r i n g > D a t e < / s t r i n g > < / k e y > < v a l u e > < i n t > 0 < / i n t > < / v a l u e > < / i t e m > < i t e m > < k e y > < s t r i n g > T r a n s a c t i o n < / s t r i n g > < / k e y > < v a l u e > < i n t > 1 < / i n t > < / v a l u e > < / i t e m > < i t e m > < k e y > < s t r i n g > A m o u n t < / s t r i n g > < / k e y > < v a l u e > < i n t > 2 < / i n t > < / v a l u e > < / i t e m > < i t e m > < k e y > < s t r i n g > C u r r e n c y < / s t r i n g > < / k e y > < v a l u e > < i n t > 3 < / i n t > < / v a l u e > < / i t e m > < i t e m > < k e y > < s t r i n g > S i g n < / s t r i n g > < / k e y > < v a l u e > < i n t > 4 < / i n t > < / v a l u e > < / i t e m > < i t e m > < k e y > < s t r i n g > V a l u e < / s t r i n g > < / k e y > < v a l u e > < i n t > 5 < / i n t > < / v a l u e > < / i t e m > < i t e m > < k e y > < s t r i n g > P a r t i c i p a n t < / s t r i n g > < / k e y > < v a l u e > < i n t > 6 < / i n t > < / v a l u e > < / i t e m > < i t e m > < k e y > < s t r i n g > P a y m e n t   M e t h o d < / s t r i n g > < / k e y > < v a l u e > < i n t > 7 < / i n t > < / v a l u e > < / i t e m > < i t e m > < k e y > < s t r i n g > P a y m e n t   T e r m s < / s t r i n g > < / k e y > < v a l u e > < i n t > 8 < / i n t > < / v a l u e > < / i t e m > < i t e m > < k e y > < s t r i n g > A c c o u t < / s t r i n g > < / k e y > < v a l u e > < i n t > 9 < / i n t > < / v a l u e > < / i t e m > < i t e m > < k e y > < s t r i n g > D e t a i l s < / s t r i n g > < / k e y > < v a l u e > < i n t > 1 0 < / i n t > < / v a l u e > < / i t e m > < i t e m > < k e y > < s t r i n g > Q u a n t i t y < / s t r i n g > < / k e y > < v a l u e > < i n t > 1 1 < / i n t > < / v a l u e > < / i t e m > < i t e m > < k e y > < s t r i n g > U n i t < / s t r i n g > < / k e y > < v a l u e > < i n t > 1 2 < / i n t > < / v a l u e > < / i t e m > < i t e m > < k e y > < s t r i n g > P r i c e < / s t r i n g > < / k e y > < v a l u e > < i n t > 1 3 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4.xml>��< ? x m l   v e r s i o n = " 1 . 0 "   e n c o d i n g = " U T F - 1 6 " ? > < G e m i n i   x m l n s = " h t t p : / / g e m i n i / p i v o t c u s t o m i z a t i o n / T a b l e O r d e r " > < C u s t o m C o n t e n t > < ! [ C D A T A [ T _ T r a n s a c t i o n s , T _ C o n t r i b u t i o n s , T _ P a r t i c i p a n t s ] ] > < / C u s t o m C o n t e n t > < / G e m i n i > 
</file>

<file path=customXml/item15.xml>��< ? x m l   v e r s i o n = " 1 . 0 "   e n c o d i n g = " U T F - 1 6 " ? > < G e m i n i   x m l n s = " h t t p : / / g e m i n i / p i v o t c u s t o m i z a t i o n / C l i e n t W i n d o w X M L " > < C u s t o m C o n t e n t > < ! [ C D A T A [ T _ P a r t i c i p a n t s ] ] > < / C u s t o m C o n t e n t > < / G e m i n i > 
</file>

<file path=customXml/item16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9 5 8 ] ] > < / C u s t o m C o n t e n t > < / G e m i n i > 
</file>

<file path=customXml/item17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8.xml>��< ? x m l   v e r s i o n = " 1 . 0 "   e n c o d i n g = " U T F - 1 6 " ? > < G e m i n i   x m l n s = " h t t p : / / g e m i n i / p i v o t c u s t o m i z a t i o n / T a b l e X M L _ T _ P a r t i c i p a n t s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> < i t e m > < k e y > < s t r i n g > P a r t i c i p a n t < / s t r i n g > < / k e y > < v a l u e > < s t r i n g > W C h a r < / s t r i n g > < / v a l u e > < / i t e m > < i t e m > < k e y > < s t r i n g > P a r t i c i p a n t   T y p e < / s t r i n g > < / k e y > < v a l u e > < s t r i n g > W C h a r < / s t r i n g > < / v a l u e > < / i t e m > < i t e m > < k e y > < s t r i n g > P a r t i c i p a n t   C a t e g o r y < / s t r i n g > < / k e y > < v a l u e > < s t r i n g > W C h a r < / s t r i n g > < / v a l u e > < / i t e m > < i t e m > < k e y > < s t r i n g > P a t i c i p a n t   L e v e l < / s t r i n g > < / k e y > < v a l u e > < s t r i n g > B i g I n t < / s t r i n g > < / v a l u e > < / i t e m > < i t e m > < k e y > < s t r i n g > C o n t r i b u t i o n < / s t r i n g > < / k e y > < v a l u e > < s t r i n g > W C h a r < / s t r i n g > < / v a l u e > < / i t e m > < i t e m > < k e y > < s t r i n g > N i v e a u   C o n t r i b u t i o n < / s t r i n g > < / k e y > < v a l u e > < s t r i n g > B i g I n t < / s t r i n g > < / v a l u e > < / i t e m > < / C o l u m n S u g g e s t e d T y p e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 P a r t i c i p a n t < / s t r i n g > < / k e y > < v a l u e > < i n t > 1 0 2 < / i n t > < / v a l u e > < / i t e m > < i t e m > < k e y > < s t r i n g > P a r t i c i p a n t   T y p e < / s t r i n g > < / k e y > < v a l u e > < i n t > 1 3 4 < / i n t > < / v a l u e > < / i t e m > < i t e m > < k e y > < s t r i n g > P a r t i c i p a n t   C a t e g o r y < / s t r i n g > < / k e y > < v a l u e > < i n t > 1 6 0 < / i n t > < / v a l u e > < / i t e m > < i t e m > < k e y > < s t r i n g > P a t i c i p a n t   L e v e l < / s t r i n g > < / k e y > < v a l u e > < i n t > 1 3 3 < / i n t > < / v a l u e > < / i t e m > < i t e m > < k e y > < s t r i n g > C o n t r i b u t i o n < / s t r i n g > < / k e y > < v a l u e > < i n t > 1 1 4 < / i n t > < / v a l u e > < / i t e m > < i t e m > < k e y > < s t r i n g > N i v e a u   C o n t r i b u t i o n < / s t r i n g > < / k e y > < v a l u e > < i n t > 1 6 1 < / i n t > < / v a l u e > < / i t e m > < / C o l u m n W i d t h s > < C o l u m n D i s p l a y I n d e x > < i t e m > < k e y > < s t r i n g > P a r t i c i p a n t < / s t r i n g > < / k e y > < v a l u e > < i n t > 0 < / i n t > < / v a l u e > < / i t e m > < i t e m > < k e y > < s t r i n g > P a r t i c i p a n t   T y p e < / s t r i n g > < / k e y > < v a l u e > < i n t > 1 < / i n t > < / v a l u e > < / i t e m > < i t e m > < k e y > < s t r i n g > P a r t i c i p a n t   C a t e g o r y < / s t r i n g > < / k e y > < v a l u e > < i n t > 2 < / i n t > < / v a l u e > < / i t e m > < i t e m > < k e y > < s t r i n g > P a t i c i p a n t   L e v e l < / s t r i n g > < / k e y > < v a l u e > < i n t > 3 < / i n t > < / v a l u e > < / i t e m > < i t e m > < k e y > < s t r i n g > C o n t r i b u t i o n < / s t r i n g > < / k e y > < v a l u e > < i n t > 4 < / i n t > < / v a l u e > < / i t e m > < i t e m > < k e y > < s t r i n g > N i v e a u   C o n t r i b u t i o n < / s t r i n g > < / k e y > < v a l u e > < i n t > 5 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3.xml>��< ? x m l   v e r s i o n = " 1 . 0 "   e n c o d i n g = " U T F - 1 6 " ? > < G e m i n i   x m l n s = " h t t p : / / g e m i n i / p i v o t c u s t o m i z a t i o n / T a b l e X M L _ T _ C o n t r i b u t i o n s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> < i t e m > < k e y > < s t r i n g > C o n t r i b u t i o n < / s t r i n g > < / k e y > < v a l u e > < s t r i n g > W C h a r < / s t r i n g > < / v a l u e > < / i t e m > < i t e m > < k e y > < s t r i n g > T y p e   C o n t r i b u t i o n < / s t r i n g > < / k e y > < v a l u e > < s t r i n g > W C h a r < / s t r i n g > < / v a l u e > < / i t e m > < i t e m > < k e y > < s t r i n g > C a t � g o r i e   C o n t r i b u t i o n < / s t r i n g > < / k e y > < v a l u e > < s t r i n g > W C h a r < / s t r i n g > < / v a l u e > < / i t e m > < i t e m > < k e y > < s t r i n g > S i g n < / s t r i n g > < / k e y > < v a l u e > < s t r i n g > B i g I n t < / s t r i n g > < / v a l u e > < / i t e m > < i t e m > < k e y > < s t r i n g > N i v e a u   C o n t r i b u t i o n < / s t r i n g > < / k e y > < v a l u e > < s t r i n g > B i g I n t < / s t r i n g > < / v a l u e > < / i t e m > < / C o l u m n S u g g e s t e d T y p e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 C o n t r i b u t i o n < / s t r i n g > < / k e y > < v a l u e > < i n t > 1 1 4 < / i n t > < / v a l u e > < / i t e m > < i t e m > < k e y > < s t r i n g > T y p e   C o n t r i b u t i o n < / s t r i n g > < / k e y > < v a l u e > < i n t > 1 4 6 < / i n t > < / v a l u e > < / i t e m > < i t e m > < k e y > < s t r i n g > C a t � g o r i e   C o n t r i b u t i o n < / s t r i n g > < / k e y > < v a l u e > < i n t > 1 7 7 < / i n t > < / v a l u e > < / i t e m > < i t e m > < k e y > < s t r i n g > S i g n < / s t r i n g > < / k e y > < v a l u e > < i n t > 6 2 < / i n t > < / v a l u e > < / i t e m > < i t e m > < k e y > < s t r i n g > N i v e a u   C o n t r i b u t i o n < / s t r i n g > < / k e y > < v a l u e > < i n t > 1 6 1 < / i n t > < / v a l u e > < / i t e m > < / C o l u m n W i d t h s > < C o l u m n D i s p l a y I n d e x > < i t e m > < k e y > < s t r i n g > C o n t r i b u t i o n < / s t r i n g > < / k e y > < v a l u e > < i n t > 0 < / i n t > < / v a l u e > < / i t e m > < i t e m > < k e y > < s t r i n g > T y p e   C o n t r i b u t i o n < / s t r i n g > < / k e y > < v a l u e > < i n t > 1 < / i n t > < / v a l u e > < / i t e m > < i t e m > < k e y > < s t r i n g > C a t � g o r i e   C o n t r i b u t i o n < / s t r i n g > < / k e y > < v a l u e > < i n t > 2 < / i n t > < / v a l u e > < / i t e m > < i t e m > < k e y > < s t r i n g > S i g n < / s t r i n g > < / k e y > < v a l u e > < i n t > 3 < / i n t > < / v a l u e > < / i t e m > < i t e m > < k e y > < s t r i n g > N i v e a u   C o n t r i b u t i o n < / s t r i n g > < / k e y > < v a l u e > < i n t > 4 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6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 2 2 < / H e i g h t > < / S a n d b o x E d i t o r . F o r m u l a B a r S t a t e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8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9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 2 0 1 9 - 0 2 - 2 3 T 2 2 : 1 2 : 4 7 . 8 6 1 4 5 7 7 + 0 1 : 0 0 < / L a s t P r o c e s s e d T i m e > < / D a t a M o d e l i n g S a n d b o x . S e r i a l i z e d S a n d b o x E r r o r C a c h e > ] ] > < / C u s t o m C o n t e n t > < / G e m i n i > 
</file>

<file path=customXml/itemProps1.xml><?xml version="1.0" encoding="utf-8"?>
<ds:datastoreItem xmlns:ds="http://schemas.openxmlformats.org/officeDocument/2006/customXml" ds:itemID="{399DCC1E-614B-45D0-B3C2-8E2A05BE1401}">
  <ds:schemaRefs/>
</ds:datastoreItem>
</file>

<file path=customXml/itemProps10.xml><?xml version="1.0" encoding="utf-8"?>
<ds:datastoreItem xmlns:ds="http://schemas.openxmlformats.org/officeDocument/2006/customXml" ds:itemID="{6BD10272-F098-4F86-BF79-590EF87F9A33}">
  <ds:schemaRefs/>
</ds:datastoreItem>
</file>

<file path=customXml/itemProps11.xml><?xml version="1.0" encoding="utf-8"?>
<ds:datastoreItem xmlns:ds="http://schemas.openxmlformats.org/officeDocument/2006/customXml" ds:itemID="{E4F362DE-513B-400E-B9FA-4C690A195403}">
  <ds:schemaRefs/>
</ds:datastoreItem>
</file>

<file path=customXml/itemProps12.xml><?xml version="1.0" encoding="utf-8"?>
<ds:datastoreItem xmlns:ds="http://schemas.openxmlformats.org/officeDocument/2006/customXml" ds:itemID="{DEB774AD-6C9E-4FEC-BEBE-A16EEDB11AF1}">
  <ds:schemaRefs/>
</ds:datastoreItem>
</file>

<file path=customXml/itemProps13.xml><?xml version="1.0" encoding="utf-8"?>
<ds:datastoreItem xmlns:ds="http://schemas.openxmlformats.org/officeDocument/2006/customXml" ds:itemID="{DDFF0DD7-5829-431A-AE51-5DBD98400EF4}">
  <ds:schemaRefs/>
</ds:datastoreItem>
</file>

<file path=customXml/itemProps14.xml><?xml version="1.0" encoding="utf-8"?>
<ds:datastoreItem xmlns:ds="http://schemas.openxmlformats.org/officeDocument/2006/customXml" ds:itemID="{33FA8BB5-9FCC-4C76-8A67-0048BFD24993}">
  <ds:schemaRefs/>
</ds:datastoreItem>
</file>

<file path=customXml/itemProps15.xml><?xml version="1.0" encoding="utf-8"?>
<ds:datastoreItem xmlns:ds="http://schemas.openxmlformats.org/officeDocument/2006/customXml" ds:itemID="{9DAA4162-891F-48E5-B5FB-C0E3009DF0AF}">
  <ds:schemaRefs/>
</ds:datastoreItem>
</file>

<file path=customXml/itemProps16.xml><?xml version="1.0" encoding="utf-8"?>
<ds:datastoreItem xmlns:ds="http://schemas.openxmlformats.org/officeDocument/2006/customXml" ds:itemID="{E69A8930-5CE9-4E2B-BB7B-D98B94FF8165}">
  <ds:schemaRefs/>
</ds:datastoreItem>
</file>

<file path=customXml/itemProps17.xml><?xml version="1.0" encoding="utf-8"?>
<ds:datastoreItem xmlns:ds="http://schemas.openxmlformats.org/officeDocument/2006/customXml" ds:itemID="{7905A9B7-A148-4C74-9729-FA8DE3249BD8}">
  <ds:schemaRefs/>
</ds:datastoreItem>
</file>

<file path=customXml/itemProps18.xml><?xml version="1.0" encoding="utf-8"?>
<ds:datastoreItem xmlns:ds="http://schemas.openxmlformats.org/officeDocument/2006/customXml" ds:itemID="{A0BD9513-E5C1-4E1D-8BE4-3DCF75546E20}">
  <ds:schemaRefs/>
</ds:datastoreItem>
</file>

<file path=customXml/itemProps2.xml><?xml version="1.0" encoding="utf-8"?>
<ds:datastoreItem xmlns:ds="http://schemas.openxmlformats.org/officeDocument/2006/customXml" ds:itemID="{F1CC86D4-0673-4253-B496-02D77ABB6F9A}">
  <ds:schemaRefs/>
</ds:datastoreItem>
</file>

<file path=customXml/itemProps3.xml><?xml version="1.0" encoding="utf-8"?>
<ds:datastoreItem xmlns:ds="http://schemas.openxmlformats.org/officeDocument/2006/customXml" ds:itemID="{9DB8E64A-C3D3-40D5-9B8F-28EB94B20781}">
  <ds:schemaRefs/>
</ds:datastoreItem>
</file>

<file path=customXml/itemProps4.xml><?xml version="1.0" encoding="utf-8"?>
<ds:datastoreItem xmlns:ds="http://schemas.openxmlformats.org/officeDocument/2006/customXml" ds:itemID="{A631437D-FEFD-4DF2-B165-6DC741131F80}">
  <ds:schemaRefs/>
</ds:datastoreItem>
</file>

<file path=customXml/itemProps5.xml><?xml version="1.0" encoding="utf-8"?>
<ds:datastoreItem xmlns:ds="http://schemas.openxmlformats.org/officeDocument/2006/customXml" ds:itemID="{5B1CB2EA-3B42-4DEE-A1DF-F25929842579}">
  <ds:schemaRefs/>
</ds:datastoreItem>
</file>

<file path=customXml/itemProps6.xml><?xml version="1.0" encoding="utf-8"?>
<ds:datastoreItem xmlns:ds="http://schemas.openxmlformats.org/officeDocument/2006/customXml" ds:itemID="{B14F1F4A-F8B5-4828-9312-0BE84DC37781}">
  <ds:schemaRefs/>
</ds:datastoreItem>
</file>

<file path=customXml/itemProps7.xml><?xml version="1.0" encoding="utf-8"?>
<ds:datastoreItem xmlns:ds="http://schemas.openxmlformats.org/officeDocument/2006/customXml" ds:itemID="{6235AC5D-92E6-4F02-829B-B1E6055FAB7A}">
  <ds:schemaRefs/>
</ds:datastoreItem>
</file>

<file path=customXml/itemProps8.xml><?xml version="1.0" encoding="utf-8"?>
<ds:datastoreItem xmlns:ds="http://schemas.openxmlformats.org/officeDocument/2006/customXml" ds:itemID="{5B4C54AF-C4E3-473D-A057-52E1DFF82284}">
  <ds:schemaRefs/>
</ds:datastoreItem>
</file>

<file path=customXml/itemProps9.xml><?xml version="1.0" encoding="utf-8"?>
<ds:datastoreItem xmlns:ds="http://schemas.openxmlformats.org/officeDocument/2006/customXml" ds:itemID="{D01B2F0B-6B64-400D-80A6-1B2CA4501FE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14</vt:i4>
      </vt:variant>
    </vt:vector>
  </HeadingPairs>
  <TitlesOfParts>
    <vt:vector size="18" baseType="lpstr">
      <vt:lpstr>Overview</vt:lpstr>
      <vt:lpstr>Assumptions</vt:lpstr>
      <vt:lpstr>Transactions</vt:lpstr>
      <vt:lpstr>Old</vt:lpstr>
      <vt:lpstr>base_reserve</vt:lpstr>
      <vt:lpstr>credit_buyback</vt:lpstr>
      <vt:lpstr>credit_risk</vt:lpstr>
      <vt:lpstr>current_date</vt:lpstr>
      <vt:lpstr>flex_risk</vt:lpstr>
      <vt:lpstr>groceries_pc</vt:lpstr>
      <vt:lpstr>project_start</vt:lpstr>
      <vt:lpstr>revenues_growth</vt:lpstr>
      <vt:lpstr>revenues_initial</vt:lpstr>
      <vt:lpstr>token_current_index</vt:lpstr>
      <vt:lpstr>token_index</vt:lpstr>
      <vt:lpstr>token_inflation</vt:lpstr>
      <vt:lpstr>token_initial_index</vt:lpstr>
      <vt:lpstr>transactions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Fabrizio Nastri</dc:creator>
  <cp:lastModifiedBy>Fabrizio Nastri</cp:lastModifiedBy>
  <cp:lastPrinted>2019-02-20T12:17:04Z</cp:lastPrinted>
  <dcterms:created xsi:type="dcterms:W3CDTF">2019-02-18T16:36:40Z</dcterms:created>
  <dcterms:modified xsi:type="dcterms:W3CDTF">2025-07-07T20:44:50Z</dcterms:modified>
</cp:coreProperties>
</file>